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965" activeTab="0"/>
  </bookViews>
  <sheets>
    <sheet name="Revco" sheetId="1" r:id="rId1"/>
    <sheet name="Eckerd" sheetId="2" r:id="rId2"/>
  </sheets>
  <definedNames>
    <definedName name="_Table1_In1" localSheetId="0" hidden="1">'Revco'!$F$30</definedName>
    <definedName name="_Table2_In1" localSheetId="0" hidden="1">'Revco'!$F$30</definedName>
    <definedName name="_Table2_In2" localSheetId="0" hidden="1">'Revco'!$G$29</definedName>
    <definedName name="ECKERDA">'Eckerd'!$A$4:$H$45</definedName>
    <definedName name="ECKERDF">'Eckerd'!$A$47:$H$79</definedName>
    <definedName name="REVCOA">'Revco'!$A$8:$H$48</definedName>
    <definedName name="REVCOF">'Revco'!$A$50:$I$82</definedName>
  </definedNames>
  <calcPr fullCalcOnLoad="1"/>
</workbook>
</file>

<file path=xl/sharedStrings.xml><?xml version="1.0" encoding="utf-8"?>
<sst xmlns="http://schemas.openxmlformats.org/spreadsheetml/2006/main" count="414" uniqueCount="115">
  <si>
    <t>|</t>
  </si>
  <si>
    <t xml:space="preserve">This spreadsheet contains Exhibit 7 of the case "Revco D.S., Inc.: Assessing </t>
  </si>
  <si>
    <t>Capital Adequacy". It provides the source model for the financial forecasts.</t>
  </si>
  <si>
    <t>KEY SIMULATION ASSUMPTIONS:</t>
  </si>
  <si>
    <t>(REVCO)</t>
  </si>
  <si>
    <t>Standard</t>
  </si>
  <si>
    <t>(ECKERD)</t>
  </si>
  <si>
    <t>Mean</t>
  </si>
  <si>
    <t>Deviation</t>
  </si>
  <si>
    <t>EBIT</t>
  </si>
  <si>
    <t>Same Store Growth Rate (inflation)</t>
  </si>
  <si>
    <t>Realization Percentage</t>
  </si>
  <si>
    <t/>
  </si>
  <si>
    <t>Divestment Assumptions:</t>
  </si>
  <si>
    <t>% Assets</t>
  </si>
  <si>
    <t>Realization</t>
  </si>
  <si>
    <t>Divestment</t>
  </si>
  <si>
    <t>Divested</t>
  </si>
  <si>
    <t>Percentage</t>
  </si>
  <si>
    <t>in 1987</t>
  </si>
  <si>
    <t xml:space="preserve">Divestment </t>
  </si>
  <si>
    <t xml:space="preserve">  Assumptions</t>
  </si>
  <si>
    <t>Divestment Target</t>
  </si>
  <si>
    <t>-</t>
  </si>
  <si>
    <t>Common Assumptions in Financial Forecast</t>
  </si>
  <si>
    <t>Stores to be Divested</t>
  </si>
  <si>
    <t>Std.Dev.</t>
  </si>
  <si>
    <t>Cost of Opening</t>
  </si>
  <si>
    <t xml:space="preserve">  Cost of Opening</t>
  </si>
  <si>
    <t>Gross Margin, Old Stores</t>
  </si>
  <si>
    <t xml:space="preserve">    Each New Store</t>
  </si>
  <si>
    <t>Gross Margin, New Stores</t>
  </si>
  <si>
    <t>New Stores/Year</t>
  </si>
  <si>
    <t xml:space="preserve">  New Stores/Year</t>
  </si>
  <si>
    <t>Growth Rate of Store Sales</t>
  </si>
  <si>
    <t xml:space="preserve">  Assets Divested</t>
  </si>
  <si>
    <t xml:space="preserve">   Mature Stores</t>
  </si>
  <si>
    <t xml:space="preserve">   New Stores</t>
  </si>
  <si>
    <t>Prime Rate + 1.75%</t>
  </si>
  <si>
    <t>Total Assets Divested</t>
  </si>
  <si>
    <t>Prime Rate - Revolver</t>
  </si>
  <si>
    <t xml:space="preserve">    (prime was about 9% in April 1986)</t>
  </si>
  <si>
    <t>Year</t>
  </si>
  <si>
    <t>1987</t>
  </si>
  <si>
    <t>1988</t>
  </si>
  <si>
    <t>1989</t>
  </si>
  <si>
    <t>1990</t>
  </si>
  <si>
    <t>Gross margin, Old Stores</t>
  </si>
  <si>
    <t>Growth Rate, Old Stores</t>
  </si>
  <si>
    <t>Growth Rate, New Stores</t>
  </si>
  <si>
    <t>Inflation Rate</t>
  </si>
  <si>
    <t>Prime + 1.75%</t>
  </si>
  <si>
    <t>Mature Store Sales</t>
  </si>
  <si>
    <t>Mature Store Sls.</t>
  </si>
  <si>
    <t>New Store Sales</t>
  </si>
  <si>
    <t>New Stores</t>
  </si>
  <si>
    <t>Old Stores, (Begin of Period)</t>
  </si>
  <si>
    <t>Old Stores, (BOP)</t>
  </si>
  <si>
    <t>Divestitures</t>
  </si>
  <si>
    <t>Revco D.S. Forecast of EBIT and Cash Flow</t>
  </si>
  <si>
    <t>Jack Eckerd Corporation Forecast of EBIT and Cash Flow</t>
  </si>
  <si>
    <t>(Calendar years ending December 31, $ in Thousands)</t>
  </si>
  <si>
    <t>Projected</t>
  </si>
  <si>
    <t>Actual 1986</t>
  </si>
  <si>
    <t>Sales</t>
  </si>
  <si>
    <t>EBIT, Old Stores</t>
  </si>
  <si>
    <t>EBIT, New Stores</t>
  </si>
  <si>
    <t>----------</t>
  </si>
  <si>
    <t>Total EBIT</t>
  </si>
  <si>
    <t>Old Depreciation</t>
  </si>
  <si>
    <t>Depreciation</t>
  </si>
  <si>
    <t>New Depreciation</t>
  </si>
  <si>
    <t>Outlay for New Stores</t>
  </si>
  <si>
    <t>Asset Sales</t>
  </si>
  <si>
    <t>Total CF Available to Service Obligations</t>
  </si>
  <si>
    <t>Shortfall</t>
  </si>
  <si>
    <t>Cash Obligations to be Covered</t>
  </si>
  <si>
    <t>Term Balance &gt;</t>
  </si>
  <si>
    <t>Change in Long Portion LTD</t>
  </si>
  <si>
    <t>Paydown of Revolver</t>
  </si>
  <si>
    <t>Interest Expense-Fixed Rate</t>
  </si>
  <si>
    <t>Interest Expense (Revolver &amp; SubDeb)</t>
  </si>
  <si>
    <t>Interest Expense-Floating</t>
  </si>
  <si>
    <t>Pfd Dividend</t>
  </si>
  <si>
    <t>Conv. Pfd Dividend</t>
  </si>
  <si>
    <t>Total Obligations to be Covered</t>
  </si>
  <si>
    <t>1987-90</t>
  </si>
  <si>
    <t>Cumulative</t>
  </si>
  <si>
    <t>Coverage Ratio: EBITDA</t>
  </si>
  <si>
    <t>Coverage Ratio: Total CF</t>
  </si>
  <si>
    <t>AS</t>
  </si>
  <si>
    <t>CFAVAIL</t>
  </si>
  <si>
    <t>See amortizaton schedule p.17 for Term Loan</t>
  </si>
  <si>
    <t>FY 1987</t>
  </si>
  <si>
    <t>See ProForma p.21 ANAC merger</t>
  </si>
  <si>
    <t>Sinking fund 113/4 - 2015</t>
  </si>
  <si>
    <t>Notes 11 1/8 - 1995</t>
  </si>
  <si>
    <t>Senior Debt (Floating rate?)</t>
  </si>
  <si>
    <t>SF</t>
  </si>
  <si>
    <t>Senior Subordinated-1994</t>
  </si>
  <si>
    <t>Subordinated - 1996</t>
  </si>
  <si>
    <t>1991</t>
  </si>
  <si>
    <t>Junior Sub - 2001</t>
  </si>
  <si>
    <t>Totals</t>
  </si>
  <si>
    <t>Exchangeable Preferred</t>
  </si>
  <si>
    <t>Convertible Preferred</t>
  </si>
  <si>
    <t>Junior Preferred</t>
  </si>
  <si>
    <t>{PANELOFF}/fs{esc}{esc}{esc}D:\REVCO\RSKTMP.WK1~~/qy</t>
  </si>
  <si>
    <t>Rev. 5/27/99</t>
  </si>
  <si>
    <t>&lt;= 1.1915 = 35%</t>
  </si>
  <si>
    <t>&lt;= 1.2447 = 40%</t>
  </si>
  <si>
    <t>&lt;= 1.3056 = 45%</t>
  </si>
  <si>
    <t>&lt;= 1.3511 = 50%</t>
  </si>
  <si>
    <t>Revco.xls</t>
  </si>
  <si>
    <t>Revolver Balance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</si>
</sst>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_)"/>
    <numFmt numFmtId="170" formatCode=";;;"/>
  </numFmts>
  <fonts count="9">
    <font>
      <sz val="12"/>
      <name val="Helv"/>
      <family val="0"/>
    </font>
    <font>
      <b/>
      <sz val="11"/>
      <name val="CG Times (WN)"/>
      <family val="0"/>
    </font>
    <font>
      <i/>
      <sz val="11"/>
      <name val="CG Times (WN)"/>
      <family val="0"/>
    </font>
    <font>
      <b/>
      <i/>
      <sz val="11"/>
      <name val="CG Times (WN)"/>
      <family val="0"/>
    </font>
    <font>
      <sz val="11"/>
      <name val="CG Times (WN)"/>
      <family val="0"/>
    </font>
    <font>
      <sz val="10"/>
      <name val="Helv"/>
      <family val="0"/>
    </font>
    <font>
      <b/>
      <sz val="10"/>
      <name val="Helv"/>
      <family val="0"/>
    </font>
    <font>
      <u val="single"/>
      <sz val="10"/>
      <name val="Helv"/>
      <family val="0"/>
    </font>
    <font>
      <sz val="10"/>
      <color indexed="12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5" fontId="0" fillId="0" borderId="0" xfId="0" applyAlignment="1">
      <alignment/>
    </xf>
    <xf numFmtId="5" fontId="5" fillId="0" borderId="0" xfId="0" applyNumberFormat="1" applyFont="1" applyAlignment="1" applyProtection="1" quotePrefix="1">
      <alignment horizontal="left"/>
      <protection/>
    </xf>
    <xf numFmtId="5" fontId="5" fillId="0" borderId="0" xfId="0" applyFont="1" applyAlignment="1">
      <alignment/>
    </xf>
    <xf numFmtId="5" fontId="5" fillId="0" borderId="0" xfId="0" applyNumberFormat="1" applyFont="1" applyAlignment="1" applyProtection="1">
      <alignment horizontal="center"/>
      <protection/>
    </xf>
    <xf numFmtId="5" fontId="5" fillId="0" borderId="0" xfId="0" applyNumberFormat="1" applyFont="1" applyAlignment="1" applyProtection="1">
      <alignment horizontal="left"/>
      <protection/>
    </xf>
    <xf numFmtId="5" fontId="6" fillId="0" borderId="0" xfId="0" applyNumberFormat="1" applyFont="1" applyAlignment="1" applyProtection="1">
      <alignment horizontal="left"/>
      <protection/>
    </xf>
    <xf numFmtId="5" fontId="5" fillId="0" borderId="0" xfId="0" applyNumberFormat="1" applyFont="1" applyAlignment="1" applyProtection="1">
      <alignment horizontal="right"/>
      <protection/>
    </xf>
    <xf numFmtId="5" fontId="7" fillId="0" borderId="0" xfId="0" applyNumberFormat="1" applyFont="1" applyAlignment="1" applyProtection="1">
      <alignment horizontal="right"/>
      <protection/>
    </xf>
    <xf numFmtId="10" fontId="5" fillId="0" borderId="0" xfId="0" applyNumberFormat="1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5" fontId="5" fillId="0" borderId="0" xfId="0" applyNumberFormat="1" applyFont="1" applyAlignment="1" applyProtection="1">
      <alignment horizontal="fill"/>
      <protection/>
    </xf>
    <xf numFmtId="169" fontId="7" fillId="0" borderId="0" xfId="0" applyNumberFormat="1" applyFont="1" applyAlignment="1" applyProtection="1">
      <alignment/>
      <protection/>
    </xf>
    <xf numFmtId="5" fontId="5" fillId="0" borderId="1" xfId="0" applyNumberFormat="1" applyFont="1" applyBorder="1" applyAlignment="1" applyProtection="1">
      <alignment horizontal="centerContinuous"/>
      <protection/>
    </xf>
    <xf numFmtId="10" fontId="5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10" fontId="5" fillId="0" borderId="0" xfId="0" applyNumberFormat="1" applyFont="1" applyAlignment="1">
      <alignment/>
    </xf>
    <xf numFmtId="10" fontId="8" fillId="0" borderId="0" xfId="0" applyNumberFormat="1" applyFont="1" applyAlignment="1" applyProtection="1">
      <alignment/>
      <protection/>
    </xf>
    <xf numFmtId="5" fontId="5" fillId="0" borderId="0" xfId="0" applyFont="1" applyAlignment="1">
      <alignment horizontal="right"/>
    </xf>
    <xf numFmtId="5" fontId="8" fillId="0" borderId="0" xfId="0" applyFont="1" applyAlignment="1">
      <alignment/>
    </xf>
    <xf numFmtId="170" fontId="5" fillId="0" borderId="0" xfId="0" applyNumberFormat="1" applyFont="1" applyAlignment="1">
      <alignment/>
    </xf>
    <xf numFmtId="5" fontId="5" fillId="0" borderId="0" xfId="0" applyFont="1" applyAlignment="1">
      <alignment horizontal="center"/>
    </xf>
    <xf numFmtId="5" fontId="7" fillId="0" borderId="0" xfId="0" applyFont="1" applyAlignment="1">
      <alignment horizontal="center"/>
    </xf>
    <xf numFmtId="10" fontId="5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430"/>
  <sheetViews>
    <sheetView showGridLines="0" tabSelected="1" workbookViewId="0" topLeftCell="A1">
      <selection activeCell="A1" sqref="A1"/>
    </sheetView>
  </sheetViews>
  <sheetFormatPr defaultColWidth="14.77734375" defaultRowHeight="15.75"/>
  <cols>
    <col min="1" max="1" width="18.88671875" style="2" customWidth="1"/>
    <col min="2" max="5" width="9.4453125" style="2" customWidth="1"/>
    <col min="6" max="8" width="9.21484375" style="2" customWidth="1"/>
    <col min="9" max="9" width="9.5546875" style="2" customWidth="1"/>
    <col min="10" max="10" width="17.77734375" style="2" customWidth="1"/>
    <col min="11" max="17" width="14.77734375" style="2" customWidth="1"/>
    <col min="18" max="18" width="3.77734375" style="2" customWidth="1"/>
    <col min="19" max="16384" width="14.77734375" style="2" customWidth="1"/>
  </cols>
  <sheetData>
    <row r="1" spans="1:9" ht="12.75">
      <c r="A1" s="4" t="s">
        <v>113</v>
      </c>
      <c r="I1" s="3" t="s">
        <v>0</v>
      </c>
    </row>
    <row r="2" spans="1:9" ht="12.75">
      <c r="A2" s="4" t="s">
        <v>108</v>
      </c>
      <c r="I2" s="3" t="s">
        <v>0</v>
      </c>
    </row>
    <row r="3" ht="12.75">
      <c r="I3" s="3" t="s">
        <v>0</v>
      </c>
    </row>
    <row r="4" spans="1:9" ht="12.75">
      <c r="A4" s="4" t="s">
        <v>1</v>
      </c>
      <c r="I4" s="3" t="s">
        <v>0</v>
      </c>
    </row>
    <row r="5" spans="1:9" ht="12.75">
      <c r="A5" s="1" t="s">
        <v>2</v>
      </c>
      <c r="I5" s="3" t="s">
        <v>0</v>
      </c>
    </row>
    <row r="6" spans="1:9" ht="12.75">
      <c r="A6" s="4"/>
      <c r="I6" s="3" t="s">
        <v>0</v>
      </c>
    </row>
    <row r="7" ht="12.75">
      <c r="I7" s="3" t="s">
        <v>0</v>
      </c>
    </row>
    <row r="8" spans="1:9" ht="12.75">
      <c r="A8" s="5" t="s">
        <v>3</v>
      </c>
      <c r="I8" s="3" t="s">
        <v>0</v>
      </c>
    </row>
    <row r="9" spans="1:9" ht="12.75">
      <c r="A9" s="4" t="s">
        <v>4</v>
      </c>
      <c r="D9" s="6" t="s">
        <v>5</v>
      </c>
      <c r="I9" s="3" t="s">
        <v>0</v>
      </c>
    </row>
    <row r="10" spans="3:9" ht="12.75">
      <c r="C10" s="7" t="s">
        <v>7</v>
      </c>
      <c r="D10" s="7" t="s">
        <v>8</v>
      </c>
      <c r="I10" s="3" t="s">
        <v>0</v>
      </c>
    </row>
    <row r="11" spans="1:9" ht="12.75">
      <c r="A11" s="4" t="s">
        <v>9</v>
      </c>
      <c r="C11" s="16">
        <v>0.066</v>
      </c>
      <c r="D11" s="8">
        <v>0.0132</v>
      </c>
      <c r="I11" s="3" t="s">
        <v>0</v>
      </c>
    </row>
    <row r="12" spans="1:9" ht="12.75">
      <c r="A12" s="4" t="s">
        <v>10</v>
      </c>
      <c r="C12" s="16">
        <v>0.05</v>
      </c>
      <c r="D12" s="8">
        <v>0.039</v>
      </c>
      <c r="I12" s="3" t="s">
        <v>0</v>
      </c>
    </row>
    <row r="13" spans="1:9" ht="12.75">
      <c r="A13" s="4" t="s">
        <v>11</v>
      </c>
      <c r="C13" s="16">
        <v>1</v>
      </c>
      <c r="D13" s="8">
        <v>0.2</v>
      </c>
      <c r="I13" s="3" t="s">
        <v>0</v>
      </c>
    </row>
    <row r="14" spans="3:9" ht="12.75">
      <c r="C14" s="4" t="s">
        <v>12</v>
      </c>
      <c r="I14" s="3" t="s">
        <v>0</v>
      </c>
    </row>
    <row r="15" spans="1:9" ht="12.75">
      <c r="A15" s="4" t="s">
        <v>13</v>
      </c>
      <c r="C15" s="6" t="s">
        <v>14</v>
      </c>
      <c r="D15" s="6" t="s">
        <v>15</v>
      </c>
      <c r="E15" s="6" t="s">
        <v>16</v>
      </c>
      <c r="I15" s="3" t="s">
        <v>0</v>
      </c>
    </row>
    <row r="16" spans="3:9" ht="12.75">
      <c r="C16" s="7" t="s">
        <v>17</v>
      </c>
      <c r="D16" s="7" t="s">
        <v>18</v>
      </c>
      <c r="E16" s="7" t="s">
        <v>19</v>
      </c>
      <c r="I16" s="3" t="s">
        <v>0</v>
      </c>
    </row>
    <row r="17" spans="1:9" ht="12.75">
      <c r="A17" s="15"/>
      <c r="B17" s="9">
        <v>1987</v>
      </c>
      <c r="C17" s="16">
        <v>0.5</v>
      </c>
      <c r="D17" s="8">
        <f>$C$13</f>
        <v>1</v>
      </c>
      <c r="E17" s="2">
        <f>C17*$B$21</f>
        <v>115000</v>
      </c>
      <c r="I17" s="3" t="s">
        <v>0</v>
      </c>
    </row>
    <row r="18" spans="1:9" ht="12.75">
      <c r="A18" s="15"/>
      <c r="B18" s="9">
        <v>1988</v>
      </c>
      <c r="C18" s="16">
        <v>0.5</v>
      </c>
      <c r="D18" s="8">
        <f>$C$13</f>
        <v>1</v>
      </c>
      <c r="I18" s="3" t="s">
        <v>0</v>
      </c>
    </row>
    <row r="19" spans="2:9" ht="12.75">
      <c r="B19" s="9">
        <v>1989</v>
      </c>
      <c r="C19" s="16">
        <v>0</v>
      </c>
      <c r="D19" s="8">
        <f>$C$13</f>
        <v>1</v>
      </c>
      <c r="I19" s="3" t="s">
        <v>0</v>
      </c>
    </row>
    <row r="20" ht="12.75">
      <c r="I20" s="3" t="s">
        <v>0</v>
      </c>
    </row>
    <row r="21" spans="1:9" ht="12.75">
      <c r="A21" s="4" t="s">
        <v>22</v>
      </c>
      <c r="B21" s="2">
        <v>230000</v>
      </c>
      <c r="I21" s="3" t="s">
        <v>0</v>
      </c>
    </row>
    <row r="22" ht="12.75">
      <c r="I22" s="3" t="s">
        <v>0</v>
      </c>
    </row>
    <row r="23" spans="1:9" ht="12.75">
      <c r="A23" s="10" t="s">
        <v>23</v>
      </c>
      <c r="B23" s="10" t="s">
        <v>23</v>
      </c>
      <c r="C23" s="10" t="s">
        <v>23</v>
      </c>
      <c r="D23" s="10" t="s">
        <v>23</v>
      </c>
      <c r="E23" s="10" t="s">
        <v>23</v>
      </c>
      <c r="F23" s="10" t="s">
        <v>23</v>
      </c>
      <c r="G23" s="10" t="s">
        <v>23</v>
      </c>
      <c r="H23" s="10" t="s">
        <v>23</v>
      </c>
      <c r="I23" s="3" t="s">
        <v>0</v>
      </c>
    </row>
    <row r="24" spans="2:9" ht="12.75">
      <c r="B24" s="5" t="s">
        <v>24</v>
      </c>
      <c r="I24" s="3" t="s">
        <v>0</v>
      </c>
    </row>
    <row r="25" ht="12.75">
      <c r="I25" s="3" t="s">
        <v>0</v>
      </c>
    </row>
    <row r="26" spans="5:9" ht="12.75">
      <c r="E26" s="4" t="s">
        <v>25</v>
      </c>
      <c r="G26" s="9">
        <v>77</v>
      </c>
      <c r="I26" s="3" t="s">
        <v>0</v>
      </c>
    </row>
    <row r="27" spans="2:9" ht="12.75">
      <c r="B27" s="7" t="s">
        <v>7</v>
      </c>
      <c r="C27" s="7" t="s">
        <v>26</v>
      </c>
      <c r="E27" s="4" t="s">
        <v>27</v>
      </c>
      <c r="G27" s="4" t="s">
        <v>12</v>
      </c>
      <c r="I27" s="3" t="s">
        <v>0</v>
      </c>
    </row>
    <row r="28" spans="1:9" ht="12.75">
      <c r="A28" s="4" t="s">
        <v>29</v>
      </c>
      <c r="B28" s="8">
        <f>C11</f>
        <v>0.066</v>
      </c>
      <c r="C28" s="8">
        <f>D11</f>
        <v>0.0132</v>
      </c>
      <c r="E28" s="4" t="s">
        <v>30</v>
      </c>
      <c r="G28" s="2">
        <v>100</v>
      </c>
      <c r="I28" s="3" t="s">
        <v>0</v>
      </c>
    </row>
    <row r="29" spans="1:9" ht="12.75">
      <c r="A29" s="4" t="s">
        <v>31</v>
      </c>
      <c r="B29" s="8">
        <f>C11</f>
        <v>0.066</v>
      </c>
      <c r="C29" s="8">
        <f>D11</f>
        <v>0.0132</v>
      </c>
      <c r="E29" s="4" t="s">
        <v>32</v>
      </c>
      <c r="G29" s="9">
        <v>100</v>
      </c>
      <c r="I29" s="3" t="s">
        <v>0</v>
      </c>
    </row>
    <row r="30" spans="1:9" ht="12.75">
      <c r="A30" s="4" t="s">
        <v>34</v>
      </c>
      <c r="C30" s="8"/>
      <c r="E30" s="4" t="s">
        <v>35</v>
      </c>
      <c r="F30" s="9">
        <v>1987</v>
      </c>
      <c r="G30" s="2">
        <f>$B$21*C17*D17</f>
        <v>115000</v>
      </c>
      <c r="H30" s="2">
        <f>($B21-$G$30)</f>
        <v>115000</v>
      </c>
      <c r="I30" s="3" t="s">
        <v>0</v>
      </c>
    </row>
    <row r="31" spans="1:9" ht="12.75">
      <c r="A31" s="4" t="s">
        <v>36</v>
      </c>
      <c r="B31" s="8">
        <f>C12</f>
        <v>0.05</v>
      </c>
      <c r="C31" s="8">
        <v>0.039</v>
      </c>
      <c r="E31" s="4" t="s">
        <v>12</v>
      </c>
      <c r="F31" s="9">
        <v>1988</v>
      </c>
      <c r="G31" s="2">
        <f>$B$21*C18*D18</f>
        <v>115000</v>
      </c>
      <c r="I31" s="3" t="s">
        <v>0</v>
      </c>
    </row>
    <row r="32" spans="1:9" ht="12.75">
      <c r="A32" s="4" t="s">
        <v>37</v>
      </c>
      <c r="B32" s="8">
        <f>C12</f>
        <v>0.05</v>
      </c>
      <c r="C32" s="8">
        <v>0.039</v>
      </c>
      <c r="F32" s="9">
        <v>1989</v>
      </c>
      <c r="G32" s="2">
        <f>$B$21*C19*D19</f>
        <v>0</v>
      </c>
      <c r="I32" s="3" t="s">
        <v>0</v>
      </c>
    </row>
    <row r="33" spans="1:9" ht="12.75">
      <c r="A33" s="4" t="s">
        <v>38</v>
      </c>
      <c r="B33" s="16">
        <f>0.075+0.0175</f>
        <v>0.0925</v>
      </c>
      <c r="C33" s="8">
        <v>0.036000000000000004</v>
      </c>
      <c r="E33" s="4" t="s">
        <v>39</v>
      </c>
      <c r="G33" s="2">
        <f>SUM(G30:G32)</f>
        <v>230000</v>
      </c>
      <c r="I33" s="3" t="s">
        <v>0</v>
      </c>
    </row>
    <row r="34" spans="1:9" ht="12.75">
      <c r="A34" s="4" t="s">
        <v>12</v>
      </c>
      <c r="B34" s="4" t="s">
        <v>12</v>
      </c>
      <c r="C34" s="4" t="s">
        <v>12</v>
      </c>
      <c r="I34" s="3" t="s">
        <v>0</v>
      </c>
    </row>
    <row r="35" ht="12.75">
      <c r="I35" s="3" t="s">
        <v>0</v>
      </c>
    </row>
    <row r="36" ht="12.75">
      <c r="I36" s="3" t="s">
        <v>0</v>
      </c>
    </row>
    <row r="37" spans="1:9" ht="12.75">
      <c r="A37" s="4" t="s">
        <v>42</v>
      </c>
      <c r="B37" s="11">
        <v>1986</v>
      </c>
      <c r="C37" s="11">
        <f>B37+1</f>
        <v>1987</v>
      </c>
      <c r="D37" s="11">
        <f>C37+1</f>
        <v>1988</v>
      </c>
      <c r="E37" s="11">
        <f>D37+1</f>
        <v>1989</v>
      </c>
      <c r="F37" s="11">
        <f>E37+1</f>
        <v>1990</v>
      </c>
      <c r="G37" s="9"/>
      <c r="H37" s="9"/>
      <c r="I37" s="3" t="s">
        <v>0</v>
      </c>
    </row>
    <row r="38" spans="1:9" ht="12.75">
      <c r="A38" s="4" t="s">
        <v>47</v>
      </c>
      <c r="C38" s="8">
        <f>$B$28</f>
        <v>0.066</v>
      </c>
      <c r="D38" s="8">
        <f>$B$28</f>
        <v>0.066</v>
      </c>
      <c r="E38" s="8">
        <f>$B$28</f>
        <v>0.066</v>
      </c>
      <c r="F38" s="8">
        <v>0.066</v>
      </c>
      <c r="G38" s="8"/>
      <c r="H38" s="8"/>
      <c r="I38" s="3" t="s">
        <v>0</v>
      </c>
    </row>
    <row r="39" spans="1:9" ht="12.75">
      <c r="A39" s="4" t="s">
        <v>31</v>
      </c>
      <c r="C39" s="8">
        <f>$B$29</f>
        <v>0.066</v>
      </c>
      <c r="D39" s="8">
        <f>$B$29</f>
        <v>0.066</v>
      </c>
      <c r="E39" s="8">
        <f>$B$29</f>
        <v>0.066</v>
      </c>
      <c r="F39" s="8">
        <v>0.066</v>
      </c>
      <c r="G39" s="8"/>
      <c r="H39" s="8"/>
      <c r="I39" s="3" t="s">
        <v>0</v>
      </c>
    </row>
    <row r="40" spans="1:9" ht="12.75">
      <c r="A40" s="4" t="s">
        <v>48</v>
      </c>
      <c r="C40" s="8">
        <f>$B$31</f>
        <v>0.05</v>
      </c>
      <c r="D40" s="8">
        <f>$B$31</f>
        <v>0.05</v>
      </c>
      <c r="E40" s="8">
        <f>$B$31</f>
        <v>0.05</v>
      </c>
      <c r="F40" s="8">
        <v>0.05</v>
      </c>
      <c r="G40" s="8"/>
      <c r="H40" s="8"/>
      <c r="I40" s="3" t="s">
        <v>0</v>
      </c>
    </row>
    <row r="41" spans="1:9" ht="12.75">
      <c r="A41" s="4" t="s">
        <v>49</v>
      </c>
      <c r="C41" s="8">
        <f>$B$32</f>
        <v>0.05</v>
      </c>
      <c r="D41" s="8">
        <f>$B$32</f>
        <v>0.05</v>
      </c>
      <c r="E41" s="8">
        <f>$B$32</f>
        <v>0.05</v>
      </c>
      <c r="F41" s="8">
        <v>0.05</v>
      </c>
      <c r="G41" s="8"/>
      <c r="H41" s="8"/>
      <c r="I41" s="3" t="s">
        <v>0</v>
      </c>
    </row>
    <row r="42" spans="1:9" ht="12.75">
      <c r="A42" s="4" t="s">
        <v>50</v>
      </c>
      <c r="C42" s="16">
        <v>0.05</v>
      </c>
      <c r="D42" s="16">
        <f>C42</f>
        <v>0.05</v>
      </c>
      <c r="E42" s="16">
        <f>D42</f>
        <v>0.05</v>
      </c>
      <c r="F42" s="8">
        <v>0.05</v>
      </c>
      <c r="G42" s="8"/>
      <c r="H42" s="8"/>
      <c r="I42" s="3" t="s">
        <v>0</v>
      </c>
    </row>
    <row r="43" spans="1:9" ht="12.75">
      <c r="A43" s="4" t="s">
        <v>51</v>
      </c>
      <c r="C43" s="8">
        <f>$B$33</f>
        <v>0.0925</v>
      </c>
      <c r="D43" s="8">
        <f>$B$33</f>
        <v>0.0925</v>
      </c>
      <c r="E43" s="8">
        <f>$B$33</f>
        <v>0.0925</v>
      </c>
      <c r="F43" s="8">
        <v>0.0925</v>
      </c>
      <c r="G43" s="8"/>
      <c r="H43" s="8"/>
      <c r="I43" s="3" t="s">
        <v>0</v>
      </c>
    </row>
    <row r="44" spans="1:9" ht="12.75">
      <c r="A44" s="4" t="s">
        <v>52</v>
      </c>
      <c r="B44" s="2">
        <v>1015</v>
      </c>
      <c r="C44" s="2">
        <f aca="true" t="shared" si="0" ref="C44:F45">B44*(1+C40)</f>
        <v>1065.75</v>
      </c>
      <c r="D44" s="2">
        <f t="shared" si="0"/>
        <v>1119.0375000000001</v>
      </c>
      <c r="E44" s="2">
        <f t="shared" si="0"/>
        <v>1174.989375</v>
      </c>
      <c r="F44" s="2">
        <f t="shared" si="0"/>
        <v>1233.7388437500001</v>
      </c>
      <c r="I44" s="3" t="s">
        <v>0</v>
      </c>
    </row>
    <row r="45" spans="1:9" ht="12.75">
      <c r="A45" s="4" t="s">
        <v>54</v>
      </c>
      <c r="B45" s="2">
        <v>945</v>
      </c>
      <c r="C45" s="2">
        <f t="shared" si="0"/>
        <v>992.25</v>
      </c>
      <c r="D45" s="2">
        <f t="shared" si="0"/>
        <v>1041.8625</v>
      </c>
      <c r="E45" s="2">
        <f t="shared" si="0"/>
        <v>1093.955625</v>
      </c>
      <c r="F45" s="2">
        <f t="shared" si="0"/>
        <v>1148.6534062500002</v>
      </c>
      <c r="I45" s="3" t="s">
        <v>0</v>
      </c>
    </row>
    <row r="46" spans="1:9" ht="12.75">
      <c r="A46" s="4" t="s">
        <v>55</v>
      </c>
      <c r="B46" s="9">
        <v>95</v>
      </c>
      <c r="C46" s="9">
        <f>MAXA(0,+$G$29-3)</f>
        <v>97</v>
      </c>
      <c r="D46" s="9">
        <f>$G$29</f>
        <v>100</v>
      </c>
      <c r="E46" s="9">
        <f>$G$29</f>
        <v>100</v>
      </c>
      <c r="F46" s="9">
        <f>$G$29</f>
        <v>100</v>
      </c>
      <c r="G46" s="9"/>
      <c r="H46" s="9"/>
      <c r="I46" s="3" t="s">
        <v>0</v>
      </c>
    </row>
    <row r="47" spans="1:9" ht="12.75">
      <c r="A47" s="4" t="s">
        <v>56</v>
      </c>
      <c r="B47" s="9">
        <f>C47-B46</f>
        <v>1936</v>
      </c>
      <c r="C47" s="9">
        <v>2031</v>
      </c>
      <c r="D47" s="9">
        <f>C47+C46-C48</f>
        <v>2089.5</v>
      </c>
      <c r="E47" s="9">
        <f>D47+D46-D48</f>
        <v>2151</v>
      </c>
      <c r="F47" s="9">
        <f>E47+E46-E48</f>
        <v>2251</v>
      </c>
      <c r="G47" s="9"/>
      <c r="H47" s="9"/>
      <c r="I47" s="3" t="s">
        <v>0</v>
      </c>
    </row>
    <row r="48" spans="1:9" ht="12.75">
      <c r="A48" s="4" t="s">
        <v>58</v>
      </c>
      <c r="C48" s="9">
        <f>C17*G26</f>
        <v>38.5</v>
      </c>
      <c r="D48" s="9">
        <f>C18*G26</f>
        <v>38.5</v>
      </c>
      <c r="E48" s="9">
        <f>C19*G26</f>
        <v>0</v>
      </c>
      <c r="F48" s="9">
        <f>MAXA(0,(G26-C48-D48-E48))</f>
        <v>0</v>
      </c>
      <c r="G48" s="9"/>
      <c r="H48" s="9"/>
      <c r="I48" s="3" t="s">
        <v>0</v>
      </c>
    </row>
    <row r="49" spans="1:9" ht="12.75">
      <c r="A49" s="10" t="s">
        <v>23</v>
      </c>
      <c r="B49" s="10" t="s">
        <v>23</v>
      </c>
      <c r="C49" s="10" t="s">
        <v>23</v>
      </c>
      <c r="D49" s="10" t="s">
        <v>23</v>
      </c>
      <c r="E49" s="10" t="s">
        <v>23</v>
      </c>
      <c r="F49" s="10" t="s">
        <v>23</v>
      </c>
      <c r="G49" s="10" t="s">
        <v>23</v>
      </c>
      <c r="H49" s="10" t="s">
        <v>23</v>
      </c>
      <c r="I49" s="3" t="s">
        <v>0</v>
      </c>
    </row>
    <row r="50" spans="1:9" ht="12.75">
      <c r="A50" s="4" t="s">
        <v>12</v>
      </c>
      <c r="D50" s="5" t="s">
        <v>59</v>
      </c>
      <c r="I50" s="3" t="s">
        <v>0</v>
      </c>
    </row>
    <row r="51" ht="12.75">
      <c r="I51" s="3" t="s">
        <v>0</v>
      </c>
    </row>
    <row r="52" spans="4:9" ht="12.75">
      <c r="D52" s="4" t="s">
        <v>61</v>
      </c>
      <c r="I52" s="3" t="s">
        <v>0</v>
      </c>
    </row>
    <row r="53" ht="12.75">
      <c r="I53" s="3" t="s">
        <v>0</v>
      </c>
    </row>
    <row r="54" spans="4:9" ht="12.75">
      <c r="D54" s="12" t="s">
        <v>62</v>
      </c>
      <c r="E54" s="12"/>
      <c r="F54" s="12"/>
      <c r="G54" s="12"/>
      <c r="I54" s="3" t="s">
        <v>0</v>
      </c>
    </row>
    <row r="55" spans="3:9" ht="12.75">
      <c r="C55" s="4" t="s">
        <v>12</v>
      </c>
      <c r="E55" s="4" t="s">
        <v>12</v>
      </c>
      <c r="I55" s="3" t="s">
        <v>0</v>
      </c>
    </row>
    <row r="56" spans="3:9" ht="12.75">
      <c r="C56" s="6" t="s">
        <v>63</v>
      </c>
      <c r="D56" s="9">
        <v>1987</v>
      </c>
      <c r="E56" s="9">
        <v>1988</v>
      </c>
      <c r="F56" s="9">
        <v>1989</v>
      </c>
      <c r="G56" s="9">
        <v>1990</v>
      </c>
      <c r="I56" s="3" t="s">
        <v>0</v>
      </c>
    </row>
    <row r="57" spans="3:9" ht="12.75">
      <c r="C57" s="10" t="s">
        <v>23</v>
      </c>
      <c r="D57" s="10" t="s">
        <v>23</v>
      </c>
      <c r="E57" s="10" t="s">
        <v>23</v>
      </c>
      <c r="F57" s="10" t="s">
        <v>23</v>
      </c>
      <c r="G57" s="10" t="s">
        <v>23</v>
      </c>
      <c r="I57" s="3" t="s">
        <v>0</v>
      </c>
    </row>
    <row r="58" spans="1:9" ht="12.75">
      <c r="A58" s="4" t="s">
        <v>64</v>
      </c>
      <c r="C58" s="2">
        <v>2743178</v>
      </c>
      <c r="D58" s="2">
        <f>C44*C47+((C46-C48)*C45)</f>
        <v>2222584.875</v>
      </c>
      <c r="E58" s="2">
        <f>D44*D47+((D46-D48)*D45)</f>
        <v>2402303.4000000004</v>
      </c>
      <c r="F58" s="2">
        <f>E44*E47+((E46-E48)*E45)</f>
        <v>2636797.7081250004</v>
      </c>
      <c r="G58" s="2">
        <f>F44*F47+((F46-F48)*F45)</f>
        <v>2892011.4779062504</v>
      </c>
      <c r="I58" s="3" t="s">
        <v>0</v>
      </c>
    </row>
    <row r="59" spans="1:9" ht="12.75">
      <c r="A59" s="4" t="s">
        <v>65</v>
      </c>
      <c r="D59" s="2">
        <f>$B$28*C44*C47</f>
        <v>142859.5245</v>
      </c>
      <c r="E59" s="2">
        <f>$B$28*D44*D47</f>
        <v>154323.10451250002</v>
      </c>
      <c r="F59" s="2">
        <f>$B$28*E44*E47</f>
        <v>166808.54161125002</v>
      </c>
      <c r="G59" s="2">
        <f>$B$28*F44*F47</f>
        <v>183291.64506056253</v>
      </c>
      <c r="I59" s="3" t="s">
        <v>0</v>
      </c>
    </row>
    <row r="60" spans="1:9" ht="12.75">
      <c r="A60" s="4" t="s">
        <v>66</v>
      </c>
      <c r="D60" s="2">
        <f>C45*C46*$B$29</f>
        <v>6352.3845</v>
      </c>
      <c r="E60" s="2">
        <f>D45*D46*$B$29</f>
        <v>6876.2925000000005</v>
      </c>
      <c r="F60" s="2">
        <f>E45*E46*$B$29</f>
        <v>7220.107125</v>
      </c>
      <c r="G60" s="2">
        <f>F45*F46*$B$29</f>
        <v>7581.112481250002</v>
      </c>
      <c r="I60" s="3" t="s">
        <v>0</v>
      </c>
    </row>
    <row r="61" spans="3:9" ht="12.75">
      <c r="C61" s="6" t="s">
        <v>67</v>
      </c>
      <c r="D61" s="6" t="s">
        <v>67</v>
      </c>
      <c r="E61" s="6" t="s">
        <v>67</v>
      </c>
      <c r="F61" s="6" t="s">
        <v>67</v>
      </c>
      <c r="G61" s="6" t="s">
        <v>67</v>
      </c>
      <c r="I61" s="3" t="s">
        <v>0</v>
      </c>
    </row>
    <row r="62" spans="1:9" ht="12.75">
      <c r="A62" s="4" t="s">
        <v>68</v>
      </c>
      <c r="C62" s="2">
        <f>D62</f>
        <v>149211.90899999999</v>
      </c>
      <c r="D62" s="2">
        <f>SUM(D59:D60)</f>
        <v>149211.90899999999</v>
      </c>
      <c r="E62" s="2">
        <f>SUM(E59:E60)</f>
        <v>161199.39701250003</v>
      </c>
      <c r="F62" s="2">
        <f>SUM(F59:F60)</f>
        <v>174028.64873625003</v>
      </c>
      <c r="G62" s="2">
        <f>SUM(G59:G60)</f>
        <v>190872.75754181252</v>
      </c>
      <c r="I62" s="3" t="s">
        <v>0</v>
      </c>
    </row>
    <row r="63" ht="12.75">
      <c r="I63" s="3" t="s">
        <v>0</v>
      </c>
    </row>
    <row r="64" spans="1:9" ht="12.75">
      <c r="A64" s="4" t="s">
        <v>69</v>
      </c>
      <c r="D64" s="2">
        <v>33701</v>
      </c>
      <c r="E64" s="2">
        <f>D64+D65</f>
        <v>34720.24368537666</v>
      </c>
      <c r="F64" s="2">
        <f>E64+E65</f>
        <v>35813.83266778872</v>
      </c>
      <c r="G64" s="2">
        <f>F64+F65</f>
        <v>37627.552803771985</v>
      </c>
      <c r="I64" s="3" t="s">
        <v>0</v>
      </c>
    </row>
    <row r="65" spans="1:9" ht="12.75">
      <c r="A65" s="4" t="s">
        <v>71</v>
      </c>
      <c r="D65" s="2">
        <f>(D47-C47)/C47*$D$64*(1+C42)^(C37-1986)</f>
        <v>1019.2436853766618</v>
      </c>
      <c r="E65" s="2">
        <f>(E47-D47)/D47*$D$64*(1+D42)^(D37-1986)</f>
        <v>1093.5889824120602</v>
      </c>
      <c r="F65" s="2">
        <f>(F47-E47)/E47*$D$64*(1+E42)^(E37-1986)</f>
        <v>1813.7201359832638</v>
      </c>
      <c r="G65" s="2">
        <f>(G47-F47)/F47*$D$64*(1+F42)^(F37-1986)</f>
        <v>-40963.77613125</v>
      </c>
      <c r="I65" s="3" t="s">
        <v>0</v>
      </c>
    </row>
    <row r="66" spans="1:9" ht="12.75">
      <c r="A66" s="4" t="s">
        <v>72</v>
      </c>
      <c r="D66" s="2">
        <f>(-$G$28*C46)*(1+C42)^(C37-1986)</f>
        <v>-10185</v>
      </c>
      <c r="E66" s="2">
        <f>(-$G$28*D46)*(1+D42)^(D37-1986)</f>
        <v>-11025</v>
      </c>
      <c r="F66" s="2">
        <f>(-$G$28*E46)*(1+E42)^(E37-1986)</f>
        <v>-11576.250000000002</v>
      </c>
      <c r="G66" s="2">
        <f>(-$G$28*F46)*(1+F42)^(F37-1986)</f>
        <v>-12155.0625</v>
      </c>
      <c r="I66" s="3" t="s">
        <v>0</v>
      </c>
    </row>
    <row r="67" spans="1:9" ht="12.75">
      <c r="A67" s="4" t="s">
        <v>73</v>
      </c>
      <c r="D67" s="2">
        <f>G30</f>
        <v>115000</v>
      </c>
      <c r="E67" s="2">
        <f>G31</f>
        <v>115000</v>
      </c>
      <c r="F67" s="2">
        <f>G32</f>
        <v>0</v>
      </c>
      <c r="G67" s="2">
        <f>B21-G33</f>
        <v>0</v>
      </c>
      <c r="I67" s="3" t="s">
        <v>0</v>
      </c>
    </row>
    <row r="68" spans="4:9" ht="12.75">
      <c r="D68" s="6" t="s">
        <v>67</v>
      </c>
      <c r="E68" s="6" t="s">
        <v>67</v>
      </c>
      <c r="F68" s="6" t="s">
        <v>67</v>
      </c>
      <c r="G68" s="6" t="s">
        <v>67</v>
      </c>
      <c r="I68" s="3" t="s">
        <v>0</v>
      </c>
    </row>
    <row r="69" spans="1:9" ht="12.75">
      <c r="A69" s="4" t="s">
        <v>74</v>
      </c>
      <c r="D69" s="2">
        <f>SUM(D62:D67)</f>
        <v>288747.15268537664</v>
      </c>
      <c r="E69" s="2">
        <f>SUM(E62:E67)</f>
        <v>300988.22968028876</v>
      </c>
      <c r="F69" s="2">
        <f>SUM(F62:F67)</f>
        <v>200079.951540022</v>
      </c>
      <c r="G69" s="2">
        <f>SUM(G62:G67)</f>
        <v>175381.4717143345</v>
      </c>
      <c r="I69" s="3" t="s">
        <v>0</v>
      </c>
    </row>
    <row r="70" ht="12.75">
      <c r="I70" s="3" t="s">
        <v>0</v>
      </c>
    </row>
    <row r="71" spans="3:9" ht="12.75">
      <c r="C71" s="4" t="s">
        <v>75</v>
      </c>
      <c r="D71" s="2">
        <f>D69-D78</f>
        <v>-8842.632314623392</v>
      </c>
      <c r="E71" s="2">
        <f>E69-E78</f>
        <v>-4345.305319711275</v>
      </c>
      <c r="F71" s="2">
        <f>F69-F78</f>
        <v>-8647.333459977992</v>
      </c>
      <c r="G71" s="2">
        <f>G69-G78</f>
        <v>-16870.8132856655</v>
      </c>
      <c r="I71" s="3" t="s">
        <v>0</v>
      </c>
    </row>
    <row r="72" spans="1:9" ht="12.75">
      <c r="A72" s="4" t="s">
        <v>76</v>
      </c>
      <c r="C72" s="4" t="s">
        <v>77</v>
      </c>
      <c r="D72" s="2">
        <v>455000</v>
      </c>
      <c r="E72" s="2">
        <f>D72-D73</f>
        <v>322500</v>
      </c>
      <c r="F72" s="2">
        <f>E72-E73</f>
        <v>170000</v>
      </c>
      <c r="G72" s="2">
        <f>F72-F73</f>
        <v>100000</v>
      </c>
      <c r="I72" s="3" t="s">
        <v>0</v>
      </c>
    </row>
    <row r="73" spans="1:9" ht="12.75">
      <c r="A73" s="4" t="s">
        <v>78</v>
      </c>
      <c r="D73" s="2">
        <v>132500</v>
      </c>
      <c r="E73" s="2">
        <v>152500</v>
      </c>
      <c r="F73" s="2">
        <v>70000</v>
      </c>
      <c r="G73" s="2">
        <v>60000</v>
      </c>
      <c r="I73" s="3" t="s">
        <v>0</v>
      </c>
    </row>
    <row r="74" spans="1:9" ht="12.75">
      <c r="A74" s="4" t="s">
        <v>80</v>
      </c>
      <c r="D74" s="2">
        <f>$D$141</f>
        <v>112802.285</v>
      </c>
      <c r="E74" s="2">
        <f>$D$141</f>
        <v>112802.285</v>
      </c>
      <c r="F74" s="2">
        <f>$D$141</f>
        <v>112802.285</v>
      </c>
      <c r="G74" s="2">
        <f>$D$141</f>
        <v>112802.285</v>
      </c>
      <c r="I74" s="3" t="s">
        <v>0</v>
      </c>
    </row>
    <row r="75" spans="1:9" ht="12.75">
      <c r="A75" s="4" t="s">
        <v>82</v>
      </c>
      <c r="D75" s="2">
        <f>D72*MAXA(0.05,C43)</f>
        <v>42087.5</v>
      </c>
      <c r="E75" s="2">
        <f>E72*MAXA(0.05,D43)</f>
        <v>29831.25</v>
      </c>
      <c r="F75" s="2">
        <f>F72*MAXA(0.05,E43)</f>
        <v>15725</v>
      </c>
      <c r="G75" s="2">
        <f>G72*MAXA(0.05,F43)</f>
        <v>9250</v>
      </c>
      <c r="I75" s="3" t="s">
        <v>0</v>
      </c>
    </row>
    <row r="76" spans="1:9" ht="12.75">
      <c r="A76" s="4" t="s">
        <v>84</v>
      </c>
      <c r="D76" s="2">
        <v>10200</v>
      </c>
      <c r="E76" s="2">
        <v>10200</v>
      </c>
      <c r="F76" s="2">
        <v>10200</v>
      </c>
      <c r="G76" s="2">
        <v>10200</v>
      </c>
      <c r="I76" s="3" t="s">
        <v>0</v>
      </c>
    </row>
    <row r="77" spans="4:9" ht="12.75">
      <c r="D77" s="6" t="s">
        <v>67</v>
      </c>
      <c r="E77" s="6" t="s">
        <v>67</v>
      </c>
      <c r="F77" s="6" t="s">
        <v>67</v>
      </c>
      <c r="G77" s="6" t="s">
        <v>67</v>
      </c>
      <c r="I77" s="3" t="s">
        <v>0</v>
      </c>
    </row>
    <row r="78" spans="1:9" ht="12.75">
      <c r="A78" s="4" t="s">
        <v>85</v>
      </c>
      <c r="D78" s="2">
        <f>SUM(D73:D76)</f>
        <v>297589.78500000003</v>
      </c>
      <c r="E78" s="2">
        <f>SUM(E73:E76)</f>
        <v>305333.53500000003</v>
      </c>
      <c r="F78" s="2">
        <f>SUM(F73:F76)</f>
        <v>208727.285</v>
      </c>
      <c r="G78" s="2">
        <f>SUM(G73:G76)</f>
        <v>192252.285</v>
      </c>
      <c r="I78" s="3" t="s">
        <v>0</v>
      </c>
    </row>
    <row r="79" spans="8:9" ht="12.75">
      <c r="H79" s="3" t="s">
        <v>86</v>
      </c>
      <c r="I79" s="3" t="s">
        <v>0</v>
      </c>
    </row>
    <row r="80" spans="8:9" ht="12.75">
      <c r="H80" s="3" t="s">
        <v>87</v>
      </c>
      <c r="I80" s="3" t="s">
        <v>0</v>
      </c>
    </row>
    <row r="81" spans="1:9" ht="12.75">
      <c r="A81" s="4" t="s">
        <v>88</v>
      </c>
      <c r="D81" s="8">
        <f>D62/D78</f>
        <v>0.5014013132204789</v>
      </c>
      <c r="E81" s="8">
        <f>E62/E78</f>
        <v>0.5279452747059049</v>
      </c>
      <c r="F81" s="8">
        <f>F62/F78</f>
        <v>0.8337608987548035</v>
      </c>
      <c r="G81" s="8">
        <f>G62/G78</f>
        <v>0.992824389794964</v>
      </c>
      <c r="H81" s="22">
        <f>SUM($D$62:$G$62)/SUM($D$78:$G$78)</f>
        <v>0.6726872878018735</v>
      </c>
      <c r="I81" s="3" t="s">
        <v>0</v>
      </c>
    </row>
    <row r="82" spans="1:9" ht="12.75">
      <c r="A82" s="4" t="s">
        <v>89</v>
      </c>
      <c r="D82" s="8">
        <f>D69/D78</f>
        <v>0.970285833854736</v>
      </c>
      <c r="E82" s="8">
        <f>E69/E78</f>
        <v>0.9857686600991559</v>
      </c>
      <c r="F82" s="8">
        <f>F69/F78</f>
        <v>0.9585711400405654</v>
      </c>
      <c r="G82" s="8">
        <f>G69/G78</f>
        <v>0.9122464875480387</v>
      </c>
      <c r="H82" s="22">
        <f>SUM($D$69:$G$69)/SUM($D$78:$G$78)</f>
        <v>0.9614443939094764</v>
      </c>
      <c r="I82" s="3" t="s">
        <v>0</v>
      </c>
    </row>
    <row r="84" spans="1:4" ht="12.75">
      <c r="A84" s="4" t="s">
        <v>12</v>
      </c>
      <c r="D84" s="4" t="s">
        <v>12</v>
      </c>
    </row>
    <row r="88" spans="10:11" ht="12.75">
      <c r="J88" s="8"/>
      <c r="K88" s="8"/>
    </row>
    <row r="89" spans="10:11" ht="12.75">
      <c r="J89" s="8"/>
      <c r="K89" s="8"/>
    </row>
    <row r="90" ht="12.75">
      <c r="O90" s="4" t="s">
        <v>12</v>
      </c>
    </row>
    <row r="127" spans="3:4" ht="12.75">
      <c r="C127" s="4" t="s">
        <v>9</v>
      </c>
      <c r="D127" s="2">
        <f>D62*1000</f>
        <v>149211909</v>
      </c>
    </row>
    <row r="128" spans="3:4" ht="12.75">
      <c r="C128" s="4" t="s">
        <v>90</v>
      </c>
      <c r="D128" s="2">
        <f>E17*1000</f>
        <v>115000000</v>
      </c>
    </row>
    <row r="129" spans="3:4" ht="12.75">
      <c r="C129" s="4" t="s">
        <v>91</v>
      </c>
      <c r="D129" s="2">
        <f>D69*1000</f>
        <v>288747152.68537664</v>
      </c>
    </row>
    <row r="130" ht="12.75">
      <c r="F130" s="4" t="s">
        <v>92</v>
      </c>
    </row>
    <row r="131" spans="6:10" ht="12.75">
      <c r="F131" s="3" t="s">
        <v>93</v>
      </c>
      <c r="G131" s="3" t="s">
        <v>44</v>
      </c>
      <c r="H131" s="3" t="s">
        <v>45</v>
      </c>
      <c r="I131" s="3" t="s">
        <v>46</v>
      </c>
      <c r="J131" s="6" t="s">
        <v>101</v>
      </c>
    </row>
    <row r="132" spans="1:10" ht="12.75">
      <c r="A132" s="4" t="s">
        <v>94</v>
      </c>
      <c r="F132" s="2">
        <v>132500</v>
      </c>
      <c r="G132" s="2">
        <f>75000+77500</f>
        <v>152500</v>
      </c>
      <c r="H132" s="2">
        <v>70000</v>
      </c>
      <c r="I132" s="2">
        <v>60000</v>
      </c>
      <c r="J132" s="17">
        <v>40000</v>
      </c>
    </row>
    <row r="134" spans="1:7" ht="12.75">
      <c r="A134" s="4" t="s">
        <v>95</v>
      </c>
      <c r="B134" s="8">
        <v>0.1175</v>
      </c>
      <c r="C134" s="2">
        <v>125000</v>
      </c>
      <c r="D134" s="14">
        <f aca="true" t="shared" si="1" ref="D134:D139">C134*B134</f>
        <v>14687.5</v>
      </c>
      <c r="F134" s="2">
        <f>D134</f>
        <v>14687.5</v>
      </c>
      <c r="G134" s="2">
        <f>F134</f>
        <v>14687.5</v>
      </c>
    </row>
    <row r="135" spans="1:7" ht="12.75">
      <c r="A135" s="4" t="s">
        <v>96</v>
      </c>
      <c r="B135" s="8">
        <v>0.11125</v>
      </c>
      <c r="C135" s="2">
        <v>50000</v>
      </c>
      <c r="D135" s="14">
        <f t="shared" si="1"/>
        <v>5562.5</v>
      </c>
      <c r="F135" s="2">
        <f>D135</f>
        <v>5562.5</v>
      </c>
      <c r="G135" s="2">
        <f>F135</f>
        <v>5562.5</v>
      </c>
    </row>
    <row r="136" spans="1:7" ht="12.75">
      <c r="A136" s="4" t="s">
        <v>97</v>
      </c>
      <c r="B136" s="8">
        <f>0.075+0.0175</f>
        <v>0.0925</v>
      </c>
      <c r="C136" s="2">
        <f>322500+132500</f>
        <v>455000</v>
      </c>
      <c r="D136" s="14">
        <f t="shared" si="1"/>
        <v>42087.5</v>
      </c>
      <c r="E136" s="3" t="s">
        <v>98</v>
      </c>
      <c r="F136" s="2">
        <f>(+$C$136-$F$132)*$B$136</f>
        <v>29831.25</v>
      </c>
      <c r="G136" s="2">
        <f>(+$C$136-$F$132-G132)*$B$136</f>
        <v>15725</v>
      </c>
    </row>
    <row r="137" spans="1:7" ht="12.75">
      <c r="A137" s="4" t="s">
        <v>99</v>
      </c>
      <c r="B137" s="8">
        <v>0.13125</v>
      </c>
      <c r="C137" s="2">
        <v>400000</v>
      </c>
      <c r="D137" s="14">
        <f t="shared" si="1"/>
        <v>52500</v>
      </c>
      <c r="F137" s="2">
        <f>D137</f>
        <v>52500</v>
      </c>
      <c r="G137" s="2">
        <f>F137</f>
        <v>52500</v>
      </c>
    </row>
    <row r="138" spans="1:7" ht="12.75">
      <c r="A138" s="4" t="s">
        <v>100</v>
      </c>
      <c r="B138" s="8">
        <v>0.133</v>
      </c>
      <c r="C138" s="2">
        <v>210000</v>
      </c>
      <c r="D138" s="14">
        <f t="shared" si="1"/>
        <v>27930</v>
      </c>
      <c r="F138" s="2">
        <f>D138</f>
        <v>27930</v>
      </c>
      <c r="G138" s="2">
        <f>F138</f>
        <v>27930</v>
      </c>
    </row>
    <row r="139" spans="1:7" ht="12.75">
      <c r="A139" s="4" t="s">
        <v>102</v>
      </c>
      <c r="B139" s="8">
        <f>B138</f>
        <v>0.133</v>
      </c>
      <c r="C139" s="2">
        <v>91145</v>
      </c>
      <c r="D139" s="14">
        <f t="shared" si="1"/>
        <v>12122.285</v>
      </c>
      <c r="F139" s="2">
        <f>D139</f>
        <v>12122.285</v>
      </c>
      <c r="G139" s="2">
        <f>F139</f>
        <v>12122.285</v>
      </c>
    </row>
    <row r="140" spans="1:7" ht="12.75">
      <c r="A140" s="4" t="s">
        <v>103</v>
      </c>
      <c r="C140" s="2">
        <f>SUM(C134:C139)</f>
        <v>1331145</v>
      </c>
      <c r="D140" s="2">
        <f>SUM(D134:D139)</f>
        <v>154889.785</v>
      </c>
      <c r="F140" s="2">
        <f>SUM(F134:F139)</f>
        <v>142633.535</v>
      </c>
      <c r="G140" s="2">
        <f>SUM(G134:G139)</f>
        <v>128527.285</v>
      </c>
    </row>
    <row r="141" spans="2:4" ht="12.75">
      <c r="B141" s="8">
        <f>D141/C141</f>
        <v>0.12874842063813638</v>
      </c>
      <c r="C141" s="2">
        <f>C140-C136</f>
        <v>876145</v>
      </c>
      <c r="D141" s="2">
        <f>D140-D136</f>
        <v>112802.285</v>
      </c>
    </row>
    <row r="142" spans="1:4" ht="12.75">
      <c r="A142" s="4" t="s">
        <v>104</v>
      </c>
      <c r="B142" s="8">
        <v>0</v>
      </c>
      <c r="C142" s="2">
        <v>130020</v>
      </c>
      <c r="D142" s="14">
        <f>C142*B142</f>
        <v>0</v>
      </c>
    </row>
    <row r="143" spans="1:4" ht="12.75">
      <c r="A143" s="4" t="s">
        <v>105</v>
      </c>
      <c r="B143" s="8">
        <v>0.12</v>
      </c>
      <c r="C143" s="2">
        <v>85000</v>
      </c>
      <c r="D143" s="14">
        <f>C143*B143</f>
        <v>10200</v>
      </c>
    </row>
    <row r="144" spans="1:4" ht="12.75">
      <c r="A144" s="4" t="s">
        <v>106</v>
      </c>
      <c r="B144" s="8">
        <v>0.1762</v>
      </c>
      <c r="C144" s="2">
        <v>30098</v>
      </c>
      <c r="D144" s="14">
        <v>0</v>
      </c>
    </row>
    <row r="353" ht="12.75">
      <c r="O353" s="4" t="s">
        <v>12</v>
      </c>
    </row>
    <row r="390" ht="12.75">
      <c r="J390" s="4" t="s">
        <v>107</v>
      </c>
    </row>
    <row r="412" ht="12.75">
      <c r="O412" s="4" t="s">
        <v>12</v>
      </c>
    </row>
    <row r="430" ht="12.75">
      <c r="J430" s="4" t="s">
        <v>107</v>
      </c>
    </row>
  </sheetData>
  <printOptions/>
  <pageMargins left="0.25" right="0.25" top="0.5" bottom="0.5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showGridLines="0" workbookViewId="0" topLeftCell="A1">
      <selection activeCell="A1" sqref="A1"/>
    </sheetView>
  </sheetViews>
  <sheetFormatPr defaultColWidth="8.88671875" defaultRowHeight="15.75"/>
  <cols>
    <col min="1" max="1" width="25.77734375" style="0" customWidth="1"/>
    <col min="2" max="2" width="8.4453125" style="0" customWidth="1"/>
    <col min="3" max="7" width="9.10546875" style="0" customWidth="1"/>
  </cols>
  <sheetData>
    <row r="1" spans="1:9" ht="15.75">
      <c r="A1" s="4"/>
      <c r="B1" s="2"/>
      <c r="C1" s="2"/>
      <c r="D1" s="2"/>
      <c r="E1" s="2"/>
      <c r="F1" s="2"/>
      <c r="G1" s="2"/>
      <c r="H1" s="2"/>
      <c r="I1" s="3" t="s">
        <v>0</v>
      </c>
    </row>
    <row r="2" spans="1:9" ht="15.75">
      <c r="A2" s="4" t="s">
        <v>108</v>
      </c>
      <c r="B2" s="2"/>
      <c r="C2" s="2"/>
      <c r="D2" s="2"/>
      <c r="E2" s="2"/>
      <c r="F2" s="2"/>
      <c r="G2" s="2"/>
      <c r="H2" s="2"/>
      <c r="I2" s="3" t="s">
        <v>0</v>
      </c>
    </row>
    <row r="3" spans="1:9" ht="15.75">
      <c r="A3" s="2"/>
      <c r="B3" s="2"/>
      <c r="C3" s="2"/>
      <c r="D3" s="2"/>
      <c r="E3" s="2"/>
      <c r="F3" s="2"/>
      <c r="G3" s="2"/>
      <c r="H3" s="2"/>
      <c r="I3" s="3" t="s">
        <v>0</v>
      </c>
    </row>
    <row r="4" spans="1:9" ht="15.75">
      <c r="A4" s="5" t="s">
        <v>3</v>
      </c>
      <c r="B4" s="2"/>
      <c r="C4" s="2"/>
      <c r="D4" s="2"/>
      <c r="E4" s="2"/>
      <c r="F4" s="2"/>
      <c r="G4" s="2"/>
      <c r="H4" s="2"/>
      <c r="I4" s="3" t="s">
        <v>0</v>
      </c>
    </row>
    <row r="5" spans="1:9" ht="15.75">
      <c r="A5" s="4" t="s">
        <v>6</v>
      </c>
      <c r="B5" s="2"/>
      <c r="C5" s="2"/>
      <c r="D5" s="2"/>
      <c r="E5" s="2"/>
      <c r="F5" s="2"/>
      <c r="G5" s="2"/>
      <c r="H5" s="2"/>
      <c r="I5" s="3" t="s">
        <v>0</v>
      </c>
    </row>
    <row r="6" spans="1:9" ht="15.75">
      <c r="A6" s="2"/>
      <c r="B6" s="2"/>
      <c r="C6" s="2"/>
      <c r="D6" s="6" t="s">
        <v>5</v>
      </c>
      <c r="E6" s="2"/>
      <c r="F6" s="2"/>
      <c r="G6" s="2"/>
      <c r="H6" s="2"/>
      <c r="I6" s="3" t="s">
        <v>0</v>
      </c>
    </row>
    <row r="7" spans="1:9" ht="15.75">
      <c r="A7" s="4"/>
      <c r="B7" s="2"/>
      <c r="C7" s="7" t="s">
        <v>7</v>
      </c>
      <c r="D7" s="7" t="s">
        <v>8</v>
      </c>
      <c r="E7" s="2"/>
      <c r="F7" s="2"/>
      <c r="G7" s="2"/>
      <c r="H7" s="2"/>
      <c r="I7" s="3" t="s">
        <v>0</v>
      </c>
    </row>
    <row r="8" spans="1:9" ht="15.75">
      <c r="A8" s="4" t="s">
        <v>9</v>
      </c>
      <c r="B8" s="2"/>
      <c r="C8" s="16">
        <v>0.0811</v>
      </c>
      <c r="D8" s="8">
        <v>0.0142</v>
      </c>
      <c r="E8" s="2"/>
      <c r="F8" s="2"/>
      <c r="G8" s="2"/>
      <c r="H8" s="2"/>
      <c r="I8" s="3" t="s">
        <v>0</v>
      </c>
    </row>
    <row r="9" spans="1:9" ht="15.75">
      <c r="A9" s="4" t="s">
        <v>10</v>
      </c>
      <c r="B9" s="2"/>
      <c r="C9" s="16">
        <v>0.05</v>
      </c>
      <c r="D9" s="8">
        <v>0.039</v>
      </c>
      <c r="E9" s="2"/>
      <c r="F9" s="2"/>
      <c r="G9" s="2"/>
      <c r="H9" s="2"/>
      <c r="I9" s="3" t="s">
        <v>0</v>
      </c>
    </row>
    <row r="10" spans="1:9" ht="15.75">
      <c r="A10" s="4" t="s">
        <v>11</v>
      </c>
      <c r="B10" s="2"/>
      <c r="C10" s="16">
        <v>1</v>
      </c>
      <c r="D10" s="8">
        <v>0.2</v>
      </c>
      <c r="E10" s="2"/>
      <c r="F10" s="2"/>
      <c r="G10" s="2"/>
      <c r="H10" s="2"/>
      <c r="I10" s="3" t="s">
        <v>0</v>
      </c>
    </row>
    <row r="11" spans="1:9" ht="15.75">
      <c r="A11" s="4"/>
      <c r="B11" s="2"/>
      <c r="C11" s="16"/>
      <c r="D11" s="8"/>
      <c r="E11" s="2"/>
      <c r="F11" s="2"/>
      <c r="G11" s="2"/>
      <c r="H11" s="2"/>
      <c r="I11" s="3"/>
    </row>
    <row r="12" spans="1:9" ht="15.75">
      <c r="A12" s="2"/>
      <c r="B12" s="2"/>
      <c r="C12" s="6" t="s">
        <v>14</v>
      </c>
      <c r="D12" s="6" t="s">
        <v>15</v>
      </c>
      <c r="E12" s="6" t="s">
        <v>16</v>
      </c>
      <c r="F12" s="2"/>
      <c r="G12" s="2"/>
      <c r="H12" s="2"/>
      <c r="I12" s="3" t="s">
        <v>0</v>
      </c>
    </row>
    <row r="13" spans="1:9" ht="15.75">
      <c r="A13" s="4" t="s">
        <v>20</v>
      </c>
      <c r="B13" s="2"/>
      <c r="C13" s="7" t="s">
        <v>17</v>
      </c>
      <c r="D13" s="7" t="s">
        <v>18</v>
      </c>
      <c r="E13" s="7" t="s">
        <v>19</v>
      </c>
      <c r="F13" s="2"/>
      <c r="G13" s="2"/>
      <c r="H13" s="2"/>
      <c r="I13" s="3" t="s">
        <v>0</v>
      </c>
    </row>
    <row r="14" spans="1:9" ht="15.75">
      <c r="A14" s="4" t="s">
        <v>21</v>
      </c>
      <c r="B14" s="9">
        <v>1987</v>
      </c>
      <c r="C14" s="16">
        <v>0.5</v>
      </c>
      <c r="D14" s="16">
        <f>$C$10</f>
        <v>1</v>
      </c>
      <c r="E14" s="2">
        <f>C14*$C$18</f>
        <v>36000</v>
      </c>
      <c r="F14" s="2"/>
      <c r="G14" s="2"/>
      <c r="H14" s="2"/>
      <c r="I14" s="3" t="s">
        <v>0</v>
      </c>
    </row>
    <row r="15" spans="1:9" ht="15.75">
      <c r="A15" s="2"/>
      <c r="B15" s="9">
        <v>1988</v>
      </c>
      <c r="C15" s="16">
        <v>0.5</v>
      </c>
      <c r="D15" s="16">
        <f>$C$10</f>
        <v>1</v>
      </c>
      <c r="E15" s="2"/>
      <c r="F15" s="2"/>
      <c r="G15" s="2"/>
      <c r="H15" s="2"/>
      <c r="I15" s="3" t="s">
        <v>0</v>
      </c>
    </row>
    <row r="16" spans="1:9" ht="15.75">
      <c r="A16" s="2"/>
      <c r="B16" s="9">
        <v>1989</v>
      </c>
      <c r="C16" s="16">
        <v>0</v>
      </c>
      <c r="D16" s="16">
        <f>$C$10</f>
        <v>1</v>
      </c>
      <c r="E16" s="2"/>
      <c r="F16" s="2"/>
      <c r="G16" s="2"/>
      <c r="H16" s="2"/>
      <c r="I16" s="3" t="s">
        <v>0</v>
      </c>
    </row>
    <row r="17" spans="1:9" ht="15.75">
      <c r="A17" s="2"/>
      <c r="B17" s="2"/>
      <c r="C17" s="2"/>
      <c r="D17" s="2"/>
      <c r="E17" s="2"/>
      <c r="F17" s="2"/>
      <c r="G17" s="2"/>
      <c r="H17" s="2"/>
      <c r="I17" s="3" t="s">
        <v>0</v>
      </c>
    </row>
    <row r="18" spans="1:9" ht="15.75">
      <c r="A18" s="4" t="s">
        <v>22</v>
      </c>
      <c r="B18" s="2"/>
      <c r="C18" s="2">
        <v>72000</v>
      </c>
      <c r="D18" s="2"/>
      <c r="E18" s="2"/>
      <c r="F18" s="2"/>
      <c r="G18" s="2"/>
      <c r="H18" s="2"/>
      <c r="I18" s="3" t="s">
        <v>0</v>
      </c>
    </row>
    <row r="19" spans="1:9" ht="15.75">
      <c r="A19" s="2"/>
      <c r="B19" s="2"/>
      <c r="C19" s="2"/>
      <c r="D19" s="2"/>
      <c r="E19" s="2"/>
      <c r="F19" s="2"/>
      <c r="G19" s="2"/>
      <c r="H19" s="2"/>
      <c r="I19" s="3" t="s">
        <v>0</v>
      </c>
    </row>
    <row r="20" spans="1:9" ht="15.75">
      <c r="A20" s="10" t="s">
        <v>23</v>
      </c>
      <c r="B20" s="10" t="s">
        <v>23</v>
      </c>
      <c r="C20" s="10" t="s">
        <v>23</v>
      </c>
      <c r="D20" s="10" t="s">
        <v>23</v>
      </c>
      <c r="E20" s="10" t="s">
        <v>23</v>
      </c>
      <c r="F20" s="10" t="s">
        <v>23</v>
      </c>
      <c r="G20" s="10" t="s">
        <v>23</v>
      </c>
      <c r="H20" s="2"/>
      <c r="I20" s="3" t="s">
        <v>0</v>
      </c>
    </row>
    <row r="21" spans="1:9" ht="15.75">
      <c r="A21" s="2"/>
      <c r="B21" s="5" t="s">
        <v>24</v>
      </c>
      <c r="C21" s="2"/>
      <c r="D21" s="2"/>
      <c r="E21" s="2"/>
      <c r="F21" s="2"/>
      <c r="G21" s="2"/>
      <c r="H21" s="2"/>
      <c r="I21" s="3" t="s">
        <v>0</v>
      </c>
    </row>
    <row r="22" spans="1:13" ht="15.75">
      <c r="A22" s="2"/>
      <c r="B22" s="15"/>
      <c r="C22" s="2"/>
      <c r="D22" s="2"/>
      <c r="H22" s="2"/>
      <c r="I22" s="3" t="s">
        <v>0</v>
      </c>
      <c r="J22" s="4" t="s">
        <v>25</v>
      </c>
      <c r="K22" s="4" t="s">
        <v>109</v>
      </c>
      <c r="M22" s="9">
        <v>77</v>
      </c>
    </row>
    <row r="23" spans="1:13" ht="15.75">
      <c r="A23" s="2"/>
      <c r="B23" s="15"/>
      <c r="C23" s="2"/>
      <c r="D23" s="2"/>
      <c r="H23" s="2"/>
      <c r="I23" s="3" t="s">
        <v>0</v>
      </c>
      <c r="J23" s="4" t="s">
        <v>28</v>
      </c>
      <c r="K23" s="4" t="s">
        <v>110</v>
      </c>
      <c r="M23" s="4" t="s">
        <v>12</v>
      </c>
    </row>
    <row r="24" spans="1:13" ht="15.75">
      <c r="A24" s="2"/>
      <c r="B24" s="7" t="s">
        <v>7</v>
      </c>
      <c r="C24" s="7" t="s">
        <v>26</v>
      </c>
      <c r="D24" s="2"/>
      <c r="H24" s="2"/>
      <c r="I24" s="3" t="s">
        <v>0</v>
      </c>
      <c r="J24" s="4" t="s">
        <v>30</v>
      </c>
      <c r="K24" s="4" t="s">
        <v>111</v>
      </c>
      <c r="M24" s="2">
        <v>100000</v>
      </c>
    </row>
    <row r="25" spans="1:13" ht="15.75">
      <c r="A25" s="4" t="s">
        <v>29</v>
      </c>
      <c r="B25" s="16">
        <v>0.0811</v>
      </c>
      <c r="C25" s="8">
        <v>0.0142</v>
      </c>
      <c r="D25" s="2"/>
      <c r="H25" s="2"/>
      <c r="I25" s="3" t="s">
        <v>0</v>
      </c>
      <c r="J25" s="4" t="s">
        <v>33</v>
      </c>
      <c r="K25" s="4" t="s">
        <v>112</v>
      </c>
      <c r="M25" s="9">
        <v>100</v>
      </c>
    </row>
    <row r="26" spans="1:11" ht="15.75">
      <c r="A26" s="4" t="s">
        <v>31</v>
      </c>
      <c r="B26" s="16">
        <f>B25</f>
        <v>0.0811</v>
      </c>
      <c r="C26" s="8">
        <f>C25</f>
        <v>0.0142</v>
      </c>
      <c r="D26" s="2"/>
      <c r="E26" s="9">
        <v>1987</v>
      </c>
      <c r="F26" s="20">
        <f>$C$18*C14*D14</f>
        <v>36000</v>
      </c>
      <c r="H26" s="2"/>
      <c r="I26" s="3" t="s">
        <v>0</v>
      </c>
      <c r="J26" s="4" t="s">
        <v>35</v>
      </c>
      <c r="K26" s="9">
        <v>1987</v>
      </c>
    </row>
    <row r="27" spans="1:9" ht="15.75">
      <c r="A27" s="4" t="s">
        <v>34</v>
      </c>
      <c r="B27" s="2"/>
      <c r="C27" s="2"/>
      <c r="D27" s="2"/>
      <c r="E27" s="9">
        <v>1988</v>
      </c>
      <c r="F27" s="20">
        <f>$C$18*C15*D15</f>
        <v>36000</v>
      </c>
      <c r="H27" s="2"/>
      <c r="I27" s="3" t="s">
        <v>0</v>
      </c>
    </row>
    <row r="28" spans="1:9" ht="15.75">
      <c r="A28" s="4" t="s">
        <v>36</v>
      </c>
      <c r="B28" s="16">
        <f>C9</f>
        <v>0.05</v>
      </c>
      <c r="C28" s="8">
        <v>0.039</v>
      </c>
      <c r="D28" s="2"/>
      <c r="E28" s="9">
        <v>1989</v>
      </c>
      <c r="F28" s="21">
        <f>$C$18*C16*D16</f>
        <v>0</v>
      </c>
      <c r="H28" s="2"/>
      <c r="I28" s="3" t="s">
        <v>0</v>
      </c>
    </row>
    <row r="29" spans="1:9" ht="15.75">
      <c r="A29" s="4" t="s">
        <v>37</v>
      </c>
      <c r="B29" s="16">
        <f>B28</f>
        <v>0.05</v>
      </c>
      <c r="C29" s="8">
        <f>C28</f>
        <v>0.039</v>
      </c>
      <c r="D29" s="2"/>
      <c r="E29" s="4" t="s">
        <v>39</v>
      </c>
      <c r="F29" s="20">
        <f>SUM(F26:F28)</f>
        <v>72000</v>
      </c>
      <c r="H29" s="2"/>
      <c r="I29" s="3" t="s">
        <v>0</v>
      </c>
    </row>
    <row r="30" spans="1:9" ht="15.75">
      <c r="A30" s="4" t="s">
        <v>40</v>
      </c>
      <c r="B30" s="16">
        <f>0.09+0.0125</f>
        <v>0.1025</v>
      </c>
      <c r="C30" s="8">
        <v>0.036000000000000004</v>
      </c>
      <c r="D30" s="2"/>
      <c r="H30" s="2"/>
      <c r="I30" s="3" t="s">
        <v>0</v>
      </c>
    </row>
    <row r="31" spans="1:9" ht="15.75">
      <c r="A31" s="4" t="s">
        <v>41</v>
      </c>
      <c r="B31" s="2"/>
      <c r="C31" s="2"/>
      <c r="D31" s="2"/>
      <c r="E31" s="2"/>
      <c r="F31" s="2"/>
      <c r="G31" s="2"/>
      <c r="H31" s="2"/>
      <c r="I31" s="3" t="s">
        <v>0</v>
      </c>
    </row>
    <row r="32" spans="1:9" ht="15.75">
      <c r="A32" s="2"/>
      <c r="B32" s="2"/>
      <c r="C32" s="2"/>
      <c r="D32" s="2"/>
      <c r="E32" s="2"/>
      <c r="F32" s="2"/>
      <c r="G32" s="2"/>
      <c r="H32" s="2"/>
      <c r="I32" s="3" t="s">
        <v>0</v>
      </c>
    </row>
    <row r="33" spans="1:9" ht="15.75">
      <c r="A33" s="2"/>
      <c r="B33" s="2"/>
      <c r="C33" s="2"/>
      <c r="D33" s="2"/>
      <c r="E33" s="2"/>
      <c r="F33" s="2"/>
      <c r="G33" s="2"/>
      <c r="H33" s="2"/>
      <c r="I33" s="3" t="s">
        <v>0</v>
      </c>
    </row>
    <row r="34" spans="1:9" ht="15.75">
      <c r="A34" s="4" t="s">
        <v>42</v>
      </c>
      <c r="B34" s="11">
        <v>1986</v>
      </c>
      <c r="C34" s="7" t="s">
        <v>43</v>
      </c>
      <c r="D34" s="7" t="s">
        <v>44</v>
      </c>
      <c r="E34" s="7" t="s">
        <v>45</v>
      </c>
      <c r="F34" s="7" t="s">
        <v>46</v>
      </c>
      <c r="G34" s="2"/>
      <c r="H34" s="2"/>
      <c r="I34" s="3" t="s">
        <v>0</v>
      </c>
    </row>
    <row r="35" spans="1:9" ht="15.75">
      <c r="A35" s="4" t="s">
        <v>47</v>
      </c>
      <c r="B35" s="2"/>
      <c r="C35" s="8">
        <f>$B$25</f>
        <v>0.0811</v>
      </c>
      <c r="D35" s="8">
        <f>$B$25</f>
        <v>0.0811</v>
      </c>
      <c r="E35" s="8">
        <f>$B$25</f>
        <v>0.0811</v>
      </c>
      <c r="F35" s="8">
        <f>$B$25</f>
        <v>0.0811</v>
      </c>
      <c r="G35" s="2"/>
      <c r="H35" s="2"/>
      <c r="I35" s="3" t="s">
        <v>0</v>
      </c>
    </row>
    <row r="36" spans="1:9" ht="15.75">
      <c r="A36" s="4" t="s">
        <v>31</v>
      </c>
      <c r="B36" s="2"/>
      <c r="C36" s="8">
        <f>$B$26</f>
        <v>0.0811</v>
      </c>
      <c r="D36" s="8">
        <f>$B$26</f>
        <v>0.0811</v>
      </c>
      <c r="E36" s="8">
        <f>$B$26</f>
        <v>0.0811</v>
      </c>
      <c r="F36" s="8">
        <f>$B$26</f>
        <v>0.0811</v>
      </c>
      <c r="G36" s="18"/>
      <c r="H36" s="2"/>
      <c r="I36" s="3" t="s">
        <v>0</v>
      </c>
    </row>
    <row r="37" spans="1:9" ht="15.75">
      <c r="A37" s="4" t="s">
        <v>48</v>
      </c>
      <c r="B37" s="2"/>
      <c r="C37" s="8">
        <f>$B$28</f>
        <v>0.05</v>
      </c>
      <c r="D37" s="8">
        <f>$B$28</f>
        <v>0.05</v>
      </c>
      <c r="E37" s="8">
        <f>$B$28</f>
        <v>0.05</v>
      </c>
      <c r="F37" s="8">
        <f>$B$28</f>
        <v>0.05</v>
      </c>
      <c r="G37" s="2"/>
      <c r="H37" s="2"/>
      <c r="I37" s="3" t="s">
        <v>0</v>
      </c>
    </row>
    <row r="38" spans="1:9" ht="15.75">
      <c r="A38" s="4" t="s">
        <v>49</v>
      </c>
      <c r="B38" s="2"/>
      <c r="C38" s="8">
        <f>$B$29</f>
        <v>0.05</v>
      </c>
      <c r="D38" s="8">
        <f>$B$29</f>
        <v>0.05</v>
      </c>
      <c r="E38" s="8">
        <f>$B$29</f>
        <v>0.05</v>
      </c>
      <c r="F38" s="8">
        <f>$B$29</f>
        <v>0.05</v>
      </c>
      <c r="G38" s="2"/>
      <c r="H38" s="2"/>
      <c r="I38" s="3" t="s">
        <v>0</v>
      </c>
    </row>
    <row r="39" spans="1:9" ht="15.75">
      <c r="A39" s="4" t="s">
        <v>50</v>
      </c>
      <c r="B39" s="2"/>
      <c r="C39" s="8">
        <f>C38</f>
        <v>0.05</v>
      </c>
      <c r="D39" s="8">
        <f>D38</f>
        <v>0.05</v>
      </c>
      <c r="E39" s="8">
        <f>E38</f>
        <v>0.05</v>
      </c>
      <c r="F39" s="8">
        <f>F38</f>
        <v>0.05</v>
      </c>
      <c r="G39" s="2"/>
      <c r="H39" s="2"/>
      <c r="I39" s="3" t="s">
        <v>0</v>
      </c>
    </row>
    <row r="40" spans="1:9" ht="15.75">
      <c r="A40" s="4" t="s">
        <v>51</v>
      </c>
      <c r="B40" s="2"/>
      <c r="C40" s="8">
        <f>$B$30</f>
        <v>0.1025</v>
      </c>
      <c r="D40" s="8">
        <f>$B$30</f>
        <v>0.1025</v>
      </c>
      <c r="E40" s="8">
        <f>$B$30</f>
        <v>0.1025</v>
      </c>
      <c r="F40" s="8">
        <f>$B$30</f>
        <v>0.1025</v>
      </c>
      <c r="G40" s="2"/>
      <c r="H40" s="2"/>
      <c r="I40" s="3" t="s">
        <v>0</v>
      </c>
    </row>
    <row r="41" spans="1:9" ht="15.75">
      <c r="A41" s="4" t="s">
        <v>53</v>
      </c>
      <c r="B41" s="2">
        <f>C55/B44</f>
        <v>1520.3354540196644</v>
      </c>
      <c r="C41" s="2">
        <f aca="true" t="shared" si="0" ref="C41:F42">B41*(1+C37)</f>
        <v>1596.3522267206476</v>
      </c>
      <c r="D41" s="2">
        <f t="shared" si="0"/>
        <v>1676.1698380566802</v>
      </c>
      <c r="E41" s="2">
        <f t="shared" si="0"/>
        <v>1759.9783299595142</v>
      </c>
      <c r="F41" s="2">
        <f t="shared" si="0"/>
        <v>1847.97724645749</v>
      </c>
      <c r="G41" s="2"/>
      <c r="H41" s="2"/>
      <c r="I41" s="3" t="s">
        <v>0</v>
      </c>
    </row>
    <row r="42" spans="1:9" ht="15.75">
      <c r="A42" s="4" t="s">
        <v>54</v>
      </c>
      <c r="B42" s="2">
        <v>0</v>
      </c>
      <c r="C42" s="2">
        <f t="shared" si="0"/>
        <v>0</v>
      </c>
      <c r="D42" s="2">
        <f t="shared" si="0"/>
        <v>0</v>
      </c>
      <c r="E42" s="2">
        <f t="shared" si="0"/>
        <v>0</v>
      </c>
      <c r="F42" s="2">
        <f t="shared" si="0"/>
        <v>0</v>
      </c>
      <c r="G42" s="2"/>
      <c r="H42" s="2"/>
      <c r="I42" s="3" t="s">
        <v>0</v>
      </c>
    </row>
    <row r="43" spans="1:9" ht="15.75">
      <c r="A43" s="4" t="s">
        <v>55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2"/>
      <c r="H43" s="2"/>
      <c r="I43" s="3" t="s">
        <v>0</v>
      </c>
    </row>
    <row r="44" spans="1:9" ht="15.75">
      <c r="A44" s="4" t="s">
        <v>57</v>
      </c>
      <c r="B44" s="9">
        <v>1729</v>
      </c>
      <c r="C44" s="9">
        <v>1729</v>
      </c>
      <c r="D44" s="9">
        <v>1729</v>
      </c>
      <c r="E44" s="9">
        <v>1729</v>
      </c>
      <c r="F44" s="9">
        <v>1729</v>
      </c>
      <c r="G44" s="2"/>
      <c r="H44" s="2"/>
      <c r="I44" s="3" t="s">
        <v>0</v>
      </c>
    </row>
    <row r="45" spans="1:9" ht="15.75">
      <c r="A45" s="4" t="s">
        <v>58</v>
      </c>
      <c r="B45" s="2"/>
      <c r="C45" s="9">
        <v>0</v>
      </c>
      <c r="D45" s="9">
        <v>0</v>
      </c>
      <c r="E45" s="9">
        <v>0</v>
      </c>
      <c r="F45" s="9">
        <v>0</v>
      </c>
      <c r="G45" s="2"/>
      <c r="H45" s="2"/>
      <c r="I45" s="3" t="s">
        <v>0</v>
      </c>
    </row>
    <row r="46" spans="1:9" ht="15.75">
      <c r="A46" s="10" t="s">
        <v>23</v>
      </c>
      <c r="B46" s="10" t="s">
        <v>23</v>
      </c>
      <c r="C46" s="10" t="s">
        <v>23</v>
      </c>
      <c r="D46" s="10" t="s">
        <v>23</v>
      </c>
      <c r="E46" s="10" t="s">
        <v>23</v>
      </c>
      <c r="F46" s="10" t="s">
        <v>23</v>
      </c>
      <c r="G46" s="10" t="s">
        <v>23</v>
      </c>
      <c r="H46" s="2"/>
      <c r="I46" s="3" t="s">
        <v>0</v>
      </c>
    </row>
    <row r="47" spans="1:9" ht="15.75">
      <c r="A47" s="2"/>
      <c r="B47" s="2"/>
      <c r="C47" s="2"/>
      <c r="D47" s="5" t="s">
        <v>60</v>
      </c>
      <c r="E47" s="2"/>
      <c r="F47" s="2"/>
      <c r="G47" s="2"/>
      <c r="H47" s="2"/>
      <c r="I47" s="3" t="s">
        <v>0</v>
      </c>
    </row>
    <row r="48" spans="1:9" ht="15.75">
      <c r="A48" s="9"/>
      <c r="B48" s="2"/>
      <c r="C48" s="2"/>
      <c r="D48" s="2"/>
      <c r="E48" s="2"/>
      <c r="F48" s="2"/>
      <c r="G48" s="2"/>
      <c r="H48" s="2"/>
      <c r="I48" s="3" t="s">
        <v>0</v>
      </c>
    </row>
    <row r="49" spans="1:9" ht="15.75">
      <c r="A49" s="9"/>
      <c r="B49" s="2"/>
      <c r="C49" s="2"/>
      <c r="D49" s="2"/>
      <c r="E49" s="4" t="s">
        <v>61</v>
      </c>
      <c r="F49" s="2"/>
      <c r="G49" s="2"/>
      <c r="H49" s="2"/>
      <c r="I49" s="3" t="s">
        <v>0</v>
      </c>
    </row>
    <row r="50" spans="1:9" ht="15.75">
      <c r="A50" s="9"/>
      <c r="B50" s="2"/>
      <c r="C50" s="2"/>
      <c r="D50" s="2"/>
      <c r="E50" s="2"/>
      <c r="F50" s="2"/>
      <c r="G50" s="2"/>
      <c r="H50" s="2"/>
      <c r="I50" s="3" t="s">
        <v>0</v>
      </c>
    </row>
    <row r="51" spans="1:9" ht="15.75">
      <c r="A51" s="2"/>
      <c r="B51" s="2"/>
      <c r="C51" s="2"/>
      <c r="D51" s="12" t="s">
        <v>62</v>
      </c>
      <c r="E51" s="12"/>
      <c r="F51" s="12"/>
      <c r="G51" s="12"/>
      <c r="H51" s="2"/>
      <c r="I51" s="3" t="s">
        <v>0</v>
      </c>
    </row>
    <row r="52" spans="1:9" ht="15.75">
      <c r="A52" s="2"/>
      <c r="B52" s="2"/>
      <c r="C52" s="4" t="s">
        <v>12</v>
      </c>
      <c r="D52" s="2"/>
      <c r="E52" s="2"/>
      <c r="F52" s="2"/>
      <c r="G52" s="2"/>
      <c r="H52" s="2"/>
      <c r="I52" s="3" t="s">
        <v>0</v>
      </c>
    </row>
    <row r="53" spans="1:9" ht="15.75">
      <c r="A53" s="2"/>
      <c r="B53" s="2"/>
      <c r="C53" s="6" t="s">
        <v>63</v>
      </c>
      <c r="D53" s="9">
        <v>1987</v>
      </c>
      <c r="E53" s="9">
        <v>1988</v>
      </c>
      <c r="F53" s="9">
        <v>1989</v>
      </c>
      <c r="G53" s="9">
        <v>1990</v>
      </c>
      <c r="H53" s="2"/>
      <c r="I53" s="3" t="s">
        <v>0</v>
      </c>
    </row>
    <row r="54" spans="1:9" ht="15.75">
      <c r="A54" s="2"/>
      <c r="B54" s="2"/>
      <c r="C54" s="10" t="s">
        <v>23</v>
      </c>
      <c r="D54" s="10" t="s">
        <v>23</v>
      </c>
      <c r="E54" s="10" t="s">
        <v>23</v>
      </c>
      <c r="F54" s="10" t="s">
        <v>23</v>
      </c>
      <c r="G54" s="10" t="s">
        <v>23</v>
      </c>
      <c r="H54" s="2"/>
      <c r="I54" s="3" t="s">
        <v>0</v>
      </c>
    </row>
    <row r="55" spans="1:9" ht="15.75">
      <c r="A55" s="4" t="s">
        <v>64</v>
      </c>
      <c r="B55" s="2"/>
      <c r="C55" s="2">
        <f>1314330*2</f>
        <v>2628660</v>
      </c>
      <c r="D55" s="2">
        <f>C41*C44</f>
        <v>2760093</v>
      </c>
      <c r="E55" s="2">
        <f>D41*D44+((D43-D45)*D42)</f>
        <v>2898097.65</v>
      </c>
      <c r="F55" s="2">
        <f>E41*E44+((E43-E45)*E42)</f>
        <v>3043002.5325</v>
      </c>
      <c r="G55" s="2">
        <f>F41*F44+((F43-F45)*F42)</f>
        <v>3195152.6591250002</v>
      </c>
      <c r="H55" s="2"/>
      <c r="I55" s="3" t="s">
        <v>0</v>
      </c>
    </row>
    <row r="56" spans="1:9" ht="15.75">
      <c r="A56" s="4" t="s">
        <v>65</v>
      </c>
      <c r="B56" s="2"/>
      <c r="C56" s="2"/>
      <c r="D56" s="2">
        <f>D55*C35</f>
        <v>223843.5423</v>
      </c>
      <c r="E56" s="2">
        <f>E55*D35</f>
        <v>235035.719415</v>
      </c>
      <c r="F56" s="2">
        <f>F55*E35</f>
        <v>246787.50538575003</v>
      </c>
      <c r="G56" s="2">
        <f>G55*F35</f>
        <v>259126.88065503753</v>
      </c>
      <c r="H56" s="2"/>
      <c r="I56" s="3" t="s">
        <v>0</v>
      </c>
    </row>
    <row r="57" spans="1:9" ht="15.75">
      <c r="A57" s="13" t="s">
        <v>66</v>
      </c>
      <c r="B57" s="2"/>
      <c r="C57" s="2"/>
      <c r="D57" s="2">
        <f>C42*C43*$B$26</f>
        <v>0</v>
      </c>
      <c r="E57" s="2">
        <f>D42*D43*$B$26</f>
        <v>0</v>
      </c>
      <c r="F57" s="2">
        <f>E42*E43*$B$26</f>
        <v>0</v>
      </c>
      <c r="G57" s="2">
        <f>F42*F43*$B$26</f>
        <v>0</v>
      </c>
      <c r="H57" s="2"/>
      <c r="I57" s="3" t="s">
        <v>0</v>
      </c>
    </row>
    <row r="58" spans="1:9" ht="15.75">
      <c r="A58" s="4" t="s">
        <v>12</v>
      </c>
      <c r="B58" s="2"/>
      <c r="C58" s="6" t="s">
        <v>67</v>
      </c>
      <c r="D58" s="6" t="s">
        <v>67</v>
      </c>
      <c r="E58" s="6" t="s">
        <v>67</v>
      </c>
      <c r="F58" s="6" t="s">
        <v>67</v>
      </c>
      <c r="G58" s="6" t="s">
        <v>67</v>
      </c>
      <c r="H58" s="2"/>
      <c r="I58" s="3" t="s">
        <v>0</v>
      </c>
    </row>
    <row r="59" spans="1:9" ht="15.75">
      <c r="A59" s="4" t="s">
        <v>68</v>
      </c>
      <c r="B59" s="2"/>
      <c r="C59" s="2"/>
      <c r="D59" s="2">
        <f>SUM(D56:D58)</f>
        <v>223843.5423</v>
      </c>
      <c r="E59" s="2">
        <f>SUM(E56:E58)</f>
        <v>235035.719415</v>
      </c>
      <c r="F59" s="2">
        <f>SUM(F56:F58)</f>
        <v>246787.50538575003</v>
      </c>
      <c r="G59" s="2">
        <f>SUM(G56:G58)</f>
        <v>259126.88065503753</v>
      </c>
      <c r="H59" s="2"/>
      <c r="I59" s="3" t="s">
        <v>0</v>
      </c>
    </row>
    <row r="60" spans="1:9" ht="15.75">
      <c r="A60" s="2"/>
      <c r="B60" s="2"/>
      <c r="C60" s="2"/>
      <c r="D60" s="2"/>
      <c r="E60" s="2"/>
      <c r="F60" s="2"/>
      <c r="G60" s="2"/>
      <c r="H60" s="2"/>
      <c r="I60" s="3" t="s">
        <v>0</v>
      </c>
    </row>
    <row r="61" spans="1:9" ht="15.75">
      <c r="A61" s="4" t="s">
        <v>70</v>
      </c>
      <c r="B61" s="2"/>
      <c r="C61" s="2"/>
      <c r="D61" s="2">
        <v>32020</v>
      </c>
      <c r="E61" s="2">
        <v>32020</v>
      </c>
      <c r="F61" s="2">
        <v>32020</v>
      </c>
      <c r="G61" s="2">
        <v>32020</v>
      </c>
      <c r="H61" s="2"/>
      <c r="I61" s="3" t="s">
        <v>0</v>
      </c>
    </row>
    <row r="62" spans="1:9" ht="15.75">
      <c r="A62" s="4" t="s">
        <v>72</v>
      </c>
      <c r="B62" s="2"/>
      <c r="C62" s="2"/>
      <c r="D62" s="2">
        <f>-$M$25*C43</f>
        <v>0</v>
      </c>
      <c r="E62" s="2">
        <f>-$M$25*D43</f>
        <v>0</v>
      </c>
      <c r="F62" s="2">
        <f>-$M$25*E43</f>
        <v>0</v>
      </c>
      <c r="G62" s="2">
        <f>-$M$25*F43</f>
        <v>0</v>
      </c>
      <c r="H62" s="2"/>
      <c r="I62" s="3" t="s">
        <v>0</v>
      </c>
    </row>
    <row r="63" spans="1:9" ht="15.75">
      <c r="A63" s="4" t="s">
        <v>73</v>
      </c>
      <c r="B63" s="2"/>
      <c r="C63" s="2"/>
      <c r="D63" s="2">
        <f>F26</f>
        <v>36000</v>
      </c>
      <c r="E63" s="2">
        <f>C18-E14</f>
        <v>36000</v>
      </c>
      <c r="F63" s="2">
        <v>0</v>
      </c>
      <c r="G63" s="2">
        <v>0</v>
      </c>
      <c r="H63" s="2"/>
      <c r="I63" s="3" t="s">
        <v>0</v>
      </c>
    </row>
    <row r="64" spans="1:9" ht="15.75">
      <c r="A64" s="2"/>
      <c r="B64" s="2"/>
      <c r="C64" s="2"/>
      <c r="D64" s="6" t="s">
        <v>67</v>
      </c>
      <c r="E64" s="6" t="s">
        <v>67</v>
      </c>
      <c r="F64" s="6" t="s">
        <v>67</v>
      </c>
      <c r="G64" s="6" t="s">
        <v>67</v>
      </c>
      <c r="H64" s="2"/>
      <c r="I64" s="3" t="s">
        <v>0</v>
      </c>
    </row>
    <row r="65" spans="1:9" ht="15.75">
      <c r="A65" s="2"/>
      <c r="B65" s="2"/>
      <c r="C65" s="2"/>
      <c r="D65" s="2"/>
      <c r="E65" s="2"/>
      <c r="F65" s="2"/>
      <c r="G65" s="2"/>
      <c r="H65" s="2"/>
      <c r="I65" s="3" t="s">
        <v>0</v>
      </c>
    </row>
    <row r="66" spans="1:9" ht="15.75">
      <c r="A66" s="4" t="s">
        <v>74</v>
      </c>
      <c r="B66" s="2"/>
      <c r="C66" s="2"/>
      <c r="D66" s="2">
        <f>D59+D63+D62+D61</f>
        <v>291863.5423</v>
      </c>
      <c r="E66" s="2">
        <f>E59+E63+E62+E61</f>
        <v>303055.719415</v>
      </c>
      <c r="F66" s="2">
        <f>F59+F63+F62+F61</f>
        <v>278807.50538575003</v>
      </c>
      <c r="G66" s="2">
        <f>G59+G63+G62+G61</f>
        <v>291146.88065503753</v>
      </c>
      <c r="H66" s="2"/>
      <c r="I66" s="3" t="s">
        <v>0</v>
      </c>
    </row>
    <row r="67" spans="1:9" ht="15.75">
      <c r="A67" s="2"/>
      <c r="B67" s="2"/>
      <c r="C67" s="2"/>
      <c r="D67" s="2"/>
      <c r="E67" s="2"/>
      <c r="F67" s="2"/>
      <c r="G67" s="2"/>
      <c r="H67" s="2"/>
      <c r="I67" s="3" t="s">
        <v>0</v>
      </c>
    </row>
    <row r="68" spans="1:9" ht="15.75">
      <c r="A68" s="2" t="s">
        <v>114</v>
      </c>
      <c r="B68" s="2"/>
      <c r="C68" s="2"/>
      <c r="D68" s="2">
        <v>690000</v>
      </c>
      <c r="E68" s="2">
        <f>D68-D69</f>
        <v>595000</v>
      </c>
      <c r="F68" s="2">
        <f>E68-E69</f>
        <v>395000</v>
      </c>
      <c r="G68" s="2">
        <f>F68-F69</f>
        <v>95000</v>
      </c>
      <c r="H68" s="2"/>
      <c r="I68" s="3" t="s">
        <v>0</v>
      </c>
    </row>
    <row r="69" spans="1:9" ht="15.75">
      <c r="A69" s="4" t="s">
        <v>76</v>
      </c>
      <c r="B69" s="2"/>
      <c r="C69" s="19">
        <v>0</v>
      </c>
      <c r="D69" s="14">
        <f>C69+D70</f>
        <v>95000</v>
      </c>
      <c r="E69" s="14">
        <f>D69+E70</f>
        <v>200000</v>
      </c>
      <c r="F69" s="14">
        <f>E69+F70</f>
        <v>300000</v>
      </c>
      <c r="G69" s="14">
        <f>F69+G70</f>
        <v>400000</v>
      </c>
      <c r="H69" s="2"/>
      <c r="I69" s="3" t="s">
        <v>0</v>
      </c>
    </row>
    <row r="70" spans="1:9" ht="15.75">
      <c r="A70" s="4" t="s">
        <v>79</v>
      </c>
      <c r="B70" s="2"/>
      <c r="C70" s="2"/>
      <c r="D70" s="2">
        <v>95000</v>
      </c>
      <c r="E70" s="2">
        <v>105000</v>
      </c>
      <c r="F70" s="2">
        <v>100000</v>
      </c>
      <c r="G70" s="2">
        <v>100000</v>
      </c>
      <c r="H70" s="2"/>
      <c r="I70" s="3" t="s">
        <v>0</v>
      </c>
    </row>
    <row r="71" spans="1:9" ht="15.75">
      <c r="A71" s="4" t="s">
        <v>81</v>
      </c>
      <c r="B71" s="2"/>
      <c r="C71" s="2"/>
      <c r="D71" s="2">
        <f>D68*$B$30+260400*0.145+(75000+18050)*0.11</f>
        <v>118718.5</v>
      </c>
      <c r="E71" s="2">
        <f>E68*$B$30+260400*0.145+(75000+18050)*0.11</f>
        <v>108981</v>
      </c>
      <c r="F71" s="2">
        <f>F68*$B$30+260400*0.145+(75000+18050)*0.11</f>
        <v>88481</v>
      </c>
      <c r="G71" s="2">
        <f>G68*0.11+260400*0.145+(75000+18050)*0.11</f>
        <v>58443.5</v>
      </c>
      <c r="H71" s="2"/>
      <c r="I71" s="3" t="s">
        <v>0</v>
      </c>
    </row>
    <row r="72" spans="1:9" ht="15.75">
      <c r="A72" s="4" t="s">
        <v>83</v>
      </c>
      <c r="B72" s="2"/>
      <c r="C72" s="2"/>
      <c r="D72" s="2">
        <f>75000*0.145</f>
        <v>10875</v>
      </c>
      <c r="E72" s="2">
        <f>75000*0.145</f>
        <v>10875</v>
      </c>
      <c r="F72" s="2">
        <f>75000*0.145</f>
        <v>10875</v>
      </c>
      <c r="G72" s="2">
        <f>75000*0.145</f>
        <v>10875</v>
      </c>
      <c r="H72" s="2"/>
      <c r="I72" s="3" t="s">
        <v>0</v>
      </c>
    </row>
    <row r="73" spans="1:9" ht="15.75">
      <c r="A73" s="2"/>
      <c r="B73" s="2"/>
      <c r="C73" s="2"/>
      <c r="D73" s="6" t="s">
        <v>67</v>
      </c>
      <c r="E73" s="6" t="s">
        <v>67</v>
      </c>
      <c r="F73" s="6" t="s">
        <v>67</v>
      </c>
      <c r="G73" s="6" t="s">
        <v>67</v>
      </c>
      <c r="H73" s="2"/>
      <c r="I73" s="3" t="s">
        <v>0</v>
      </c>
    </row>
    <row r="74" spans="1:9" ht="15.75">
      <c r="A74" s="2"/>
      <c r="B74" s="2"/>
      <c r="C74" s="2"/>
      <c r="D74" s="2"/>
      <c r="E74" s="2"/>
      <c r="F74" s="2"/>
      <c r="G74" s="2"/>
      <c r="H74" s="2"/>
      <c r="I74" s="3" t="s">
        <v>0</v>
      </c>
    </row>
    <row r="75" spans="1:9" ht="15.75">
      <c r="A75" s="4" t="s">
        <v>85</v>
      </c>
      <c r="B75" s="2"/>
      <c r="C75" s="2"/>
      <c r="D75" s="2">
        <f>SUM(D70:D72)</f>
        <v>224593.5</v>
      </c>
      <c r="E75" s="2">
        <f>SUM(E70:E72)</f>
        <v>224856</v>
      </c>
      <c r="F75" s="2">
        <f>SUM(F70:F72)</f>
        <v>199356</v>
      </c>
      <c r="G75" s="2">
        <f>SUM(G70:G72)</f>
        <v>169318.5</v>
      </c>
      <c r="H75" s="2"/>
      <c r="I75" s="3" t="s">
        <v>0</v>
      </c>
    </row>
    <row r="76" spans="1:9" ht="15.75">
      <c r="A76" s="2"/>
      <c r="B76" s="2"/>
      <c r="C76" s="2"/>
      <c r="D76" s="2"/>
      <c r="E76" s="2"/>
      <c r="F76" s="2"/>
      <c r="G76" s="2"/>
      <c r="H76" s="3" t="s">
        <v>86</v>
      </c>
      <c r="I76" s="3" t="s">
        <v>0</v>
      </c>
    </row>
    <row r="77" spans="1:9" ht="15.75">
      <c r="A77" s="2"/>
      <c r="B77" s="2"/>
      <c r="C77" s="2"/>
      <c r="D77" s="2"/>
      <c r="E77" s="2"/>
      <c r="F77" s="2"/>
      <c r="G77" s="2"/>
      <c r="H77" s="3" t="s">
        <v>87</v>
      </c>
      <c r="I77" s="3" t="s">
        <v>0</v>
      </c>
    </row>
    <row r="78" spans="1:9" ht="15.75">
      <c r="A78" s="4" t="s">
        <v>88</v>
      </c>
      <c r="B78" s="2"/>
      <c r="C78" s="2"/>
      <c r="D78" s="8">
        <f>D59/D75</f>
        <v>0.996660821884872</v>
      </c>
      <c r="E78" s="8">
        <f>E59/E75</f>
        <v>1.0452721715898174</v>
      </c>
      <c r="F78" s="8">
        <f>F59/F75</f>
        <v>1.2379236410529406</v>
      </c>
      <c r="G78" s="8">
        <f>G59/G75</f>
        <v>1.5304109158481651</v>
      </c>
      <c r="H78" s="22">
        <f>SUM(D59:F59)/SUM(D75:F75)</f>
        <v>1.0876399276836433</v>
      </c>
      <c r="I78" s="3" t="s">
        <v>0</v>
      </c>
    </row>
    <row r="79" spans="1:9" ht="15.75">
      <c r="A79" s="4" t="s">
        <v>89</v>
      </c>
      <c r="B79" s="2"/>
      <c r="C79" s="2"/>
      <c r="D79" s="8">
        <f>D66/D75</f>
        <v>1.2995190969462607</v>
      </c>
      <c r="E79" s="8">
        <f>E66/E75</f>
        <v>1.3477768857179706</v>
      </c>
      <c r="F79" s="8">
        <f>F66/F75</f>
        <v>1.398540828396186</v>
      </c>
      <c r="G79" s="8">
        <f>G66/G75</f>
        <v>1.719521969867661</v>
      </c>
      <c r="H79" s="22">
        <f>SUM(D66:F66)/SUM(D75:F75)</f>
        <v>1.346669791024814</v>
      </c>
      <c r="I79" s="3" t="s">
        <v>0</v>
      </c>
    </row>
    <row r="80" spans="1:9" ht="15.75">
      <c r="A80" s="2"/>
      <c r="B80" s="2"/>
      <c r="C80" s="2"/>
      <c r="D80" s="2"/>
      <c r="E80" s="2"/>
      <c r="F80" s="2"/>
      <c r="G80" s="2"/>
      <c r="H80" s="2"/>
      <c r="I80" s="2"/>
    </row>
  </sheetData>
  <printOptions/>
  <pageMargins left="0.25" right="0.27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 Eades</cp:lastModifiedBy>
  <cp:lastPrinted>2001-12-17T22:42:59Z</cp:lastPrinted>
  <dcterms:created xsi:type="dcterms:W3CDTF">2001-12-17T21:44:07Z</dcterms:created>
  <dcterms:modified xsi:type="dcterms:W3CDTF">2001-12-17T22:55:02Z</dcterms:modified>
  <cp:category/>
  <cp:version/>
  <cp:contentType/>
  <cp:contentStatus/>
</cp:coreProperties>
</file>